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magambetova.b\Desktop\Корректировки 2025\Корректировка ПЗ и БНПЗ\14. Ноябрь\"/>
    </mc:Choice>
  </mc:AlternateContent>
  <xr:revisionPtr revIDLastSave="0" documentId="8_{5053413C-8735-484B-A2B9-3966B81D96E4}" xr6:coauthVersionLast="47" xr6:coauthVersionMax="47" xr10:uidLastSave="{00000000-0000-0000-0000-000000000000}"/>
  <bookViews>
    <workbookView xWindow="-120" yWindow="-120" windowWidth="29040" windowHeight="15720" xr2:uid="{BEA98D37-FD7F-4A85-9006-C0CD1965A0D0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'[1]БНПЗ (1)'!#REF!</definedName>
    <definedName name="_889_Катушка_условная">'[1]БНПЗ (1)'!#REF!</definedName>
    <definedName name="_cle1" hidden="1">#REF!</definedName>
    <definedName name="_Fill" hidden="1">#REF!</definedName>
    <definedName name="_Key1" hidden="1">#REF!</definedName>
    <definedName name="_kv1">[2]виза!$D$7</definedName>
    <definedName name="_kv2">[2]виза!$E$7</definedName>
    <definedName name="_kv3">[2]виза!$F$7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'[3]Параметры 1'!$B$3</definedName>
    <definedName name="_xlnm._FilterDatabase" localSheetId="0" hidden="1">'План закупок ТРУ'!$B$5:$P$293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'[4]ремонт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'[5]исп.см.'!#REF!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'[6]Таб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[7]XLR_NoRangeSheet!$B$7</definedName>
    <definedName name="sqdepartments_NAME_DEPARTMENT" hidden="1">[8]XLR_NoRangeSheet!$B$7</definedName>
    <definedName name="sqfuncbdg_BDGNAME" hidden="1">[9]XLR_NoRangeSheet!$B$8</definedName>
    <definedName name="sqparameters_NAME_BUDG" hidden="1">[10]XLR_NoRangeSheet!$B$7</definedName>
    <definedName name="sqparameters_REPDATE" hidden="1">[10]XLR_NoRangeSheet!$C$7</definedName>
    <definedName name="sqparametres_NAME_BUDG" hidden="1">[8]XLR_NoRangeSheet!$B$8</definedName>
    <definedName name="sqparametres_REPDATE" hidden="1">[8]XLR_NoRangeSheet!$C$8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[7]XLR_NoRangeSheet!$G$6</definedName>
    <definedName name="XLRPARAMS_p_id_budgetstage" hidden="1">[10]XLR_NoRangeSheet!$B$6</definedName>
    <definedName name="XLRPARAMS_p_id_doc" hidden="1">[7]XLR_NoRangeSheet!$C$6</definedName>
    <definedName name="XLRPARAMS_p_id_fb" hidden="1">[7]XLR_NoRangeSheet!$F$6</definedName>
    <definedName name="XLRPARAMS_p_show_cfa" hidden="1">[11]XLR_NoRangeSheet!$K$6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'[12]Таб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'[6]Таб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'[13]ремонт 25'!$B$10</definedName>
    <definedName name="движение" hidden="1">{#N/A,#N/A,FALSE,"Лист15"}</definedName>
    <definedName name="длор" hidden="1">{#N/A,#N/A,FALSE,"Лист15"}</definedName>
    <definedName name="долл">'[6]Таб 4 к Прил 1 Свифт'!$F$38</definedName>
    <definedName name="евро">'[6]Таб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'[14]Параметры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[15]КАТО!$A$2:$A$17367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'[6]Таб 1 к Прил 10 з-плата1'!$C$235</definedName>
    <definedName name="ммммм" hidden="1">{#N/A,#N/A,FALSE,"Лист15"}</definedName>
    <definedName name="МРП">'[14]Параметры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'[14]Параметры 1'!$B$8</definedName>
    <definedName name="нерезид">'[14]Параметры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OFFSET([16]ОПГЗ!$A$1,MATCH('[16]План ГЗ'!$P1,[16]ОПГЗ!$A$1:$A$65536,0)-1,1,COUNTIF([16]ОПГЗ!$A$1:$A$65536,'[16]План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'[14]Параметры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'[17]Способ закупки'!$A$1:$A$14</definedName>
    <definedName name="Способ">'[1]Способ закупки'!$A$1:$A$14</definedName>
    <definedName name="сраыв" hidden="1">{#N/A,#N/A,FALSE,"Лист15"}</definedName>
    <definedName name="старшспец">'[12]Таб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[18]Лист3!$A$1:$C$110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'[19]Способ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[18]Лист2!$A$1:$C$107</definedName>
    <definedName name="янв25">[20]Январь2025!$A$1:$C$107</definedName>
    <definedName name="январь25">[21]янв!$A$1:$C$17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9" i="1" l="1"/>
  <c r="K288" i="1"/>
  <c r="K287" i="1"/>
  <c r="K286" i="1"/>
  <c r="J285" i="1"/>
  <c r="K285" i="1" s="1"/>
  <c r="J284" i="1"/>
  <c r="K284" i="1" s="1"/>
  <c r="K283" i="1"/>
  <c r="K282" i="1"/>
  <c r="J281" i="1"/>
  <c r="K281" i="1" s="1"/>
  <c r="J280" i="1"/>
  <c r="K280" i="1" s="1"/>
  <c r="J279" i="1"/>
  <c r="K279" i="1" s="1"/>
  <c r="J278" i="1"/>
  <c r="K278" i="1" s="1"/>
  <c r="K277" i="1"/>
  <c r="K276" i="1"/>
  <c r="K275" i="1"/>
  <c r="J274" i="1"/>
  <c r="K274" i="1" s="1"/>
  <c r="J273" i="1"/>
  <c r="K273" i="1" s="1"/>
  <c r="K272" i="1"/>
  <c r="J271" i="1"/>
  <c r="K271" i="1" s="1"/>
  <c r="K270" i="1"/>
  <c r="J269" i="1"/>
  <c r="K269" i="1" s="1"/>
  <c r="K268" i="1"/>
  <c r="K267" i="1"/>
  <c r="K266" i="1"/>
  <c r="K265" i="1"/>
  <c r="K264" i="1"/>
  <c r="K263" i="1"/>
  <c r="K262" i="1"/>
  <c r="J261" i="1"/>
  <c r="K261" i="1" s="1"/>
  <c r="K260" i="1"/>
  <c r="J259" i="1"/>
  <c r="K259" i="1" s="1"/>
  <c r="J258" i="1"/>
  <c r="K258" i="1" s="1"/>
  <c r="K257" i="1"/>
  <c r="J256" i="1"/>
  <c r="K256" i="1" s="1"/>
  <c r="K255" i="1"/>
  <c r="K254" i="1"/>
  <c r="K253" i="1"/>
  <c r="K252" i="1"/>
  <c r="K251" i="1"/>
  <c r="K250" i="1"/>
  <c r="K249" i="1"/>
  <c r="I248" i="1"/>
  <c r="K248" i="1" s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J228" i="1"/>
  <c r="K228" i="1" s="1"/>
  <c r="K227" i="1"/>
  <c r="K226" i="1"/>
  <c r="K225" i="1"/>
  <c r="K224" i="1"/>
  <c r="K223" i="1"/>
  <c r="J222" i="1"/>
  <c r="K222" i="1" s="1"/>
  <c r="K221" i="1"/>
  <c r="K220" i="1"/>
  <c r="J219" i="1"/>
  <c r="K219" i="1" s="1"/>
  <c r="J218" i="1"/>
  <c r="K218" i="1" s="1"/>
  <c r="J217" i="1"/>
  <c r="K217" i="1" s="1"/>
  <c r="J216" i="1"/>
  <c r="K216" i="1" s="1"/>
  <c r="K215" i="1"/>
  <c r="J214" i="1"/>
  <c r="K214" i="1" s="1"/>
  <c r="J213" i="1"/>
  <c r="K213" i="1" s="1"/>
  <c r="K212" i="1"/>
  <c r="K211" i="1"/>
  <c r="J210" i="1"/>
  <c r="K210" i="1" s="1"/>
  <c r="K209" i="1"/>
  <c r="J208" i="1"/>
  <c r="K208" i="1" s="1"/>
  <c r="K207" i="1"/>
  <c r="J206" i="1"/>
  <c r="K206" i="1" s="1"/>
  <c r="J205" i="1"/>
  <c r="K205" i="1" s="1"/>
  <c r="K204" i="1"/>
  <c r="K203" i="1"/>
  <c r="J202" i="1"/>
  <c r="K202" i="1" s="1"/>
  <c r="K201" i="1"/>
  <c r="K200" i="1"/>
  <c r="J199" i="1"/>
  <c r="K199" i="1" s="1"/>
  <c r="J198" i="1"/>
  <c r="K198" i="1" s="1"/>
  <c r="J197" i="1"/>
  <c r="K197" i="1" s="1"/>
  <c r="J196" i="1"/>
  <c r="K196" i="1" s="1"/>
  <c r="K195" i="1"/>
  <c r="J194" i="1"/>
  <c r="K194" i="1" s="1"/>
  <c r="J193" i="1"/>
  <c r="K193" i="1" s="1"/>
  <c r="K192" i="1"/>
  <c r="K191" i="1"/>
  <c r="J190" i="1"/>
  <c r="K190" i="1" s="1"/>
  <c r="K189" i="1"/>
  <c r="K188" i="1"/>
  <c r="K187" i="1"/>
  <c r="K186" i="1"/>
  <c r="J185" i="1"/>
  <c r="K185" i="1" s="1"/>
  <c r="K184" i="1"/>
  <c r="K183" i="1"/>
  <c r="J182" i="1"/>
  <c r="K182" i="1" s="1"/>
  <c r="K181" i="1"/>
  <c r="K180" i="1"/>
  <c r="K179" i="1"/>
  <c r="J178" i="1"/>
  <c r="K178" i="1" s="1"/>
  <c r="K177" i="1"/>
  <c r="K176" i="1"/>
  <c r="J175" i="1"/>
  <c r="K175" i="1" s="1"/>
  <c r="K174" i="1"/>
  <c r="K173" i="1"/>
  <c r="K172" i="1"/>
  <c r="K171" i="1"/>
  <c r="K170" i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K163" i="1"/>
  <c r="K162" i="1"/>
  <c r="K161" i="1"/>
  <c r="K160" i="1"/>
  <c r="K159" i="1"/>
  <c r="J158" i="1"/>
  <c r="K158" i="1" s="1"/>
  <c r="J157" i="1"/>
  <c r="K157" i="1" s="1"/>
  <c r="K156" i="1"/>
  <c r="K155" i="1"/>
  <c r="K154" i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K146" i="1"/>
  <c r="J145" i="1"/>
  <c r="K145" i="1" s="1"/>
  <c r="K144" i="1"/>
  <c r="J143" i="1"/>
  <c r="K143" i="1" s="1"/>
  <c r="J142" i="1"/>
  <c r="K142" i="1" s="1"/>
  <c r="J141" i="1"/>
  <c r="K141" i="1" s="1"/>
  <c r="K140" i="1"/>
  <c r="K139" i="1"/>
  <c r="J138" i="1"/>
  <c r="K138" i="1" s="1"/>
  <c r="J137" i="1"/>
  <c r="K137" i="1" s="1"/>
  <c r="J136" i="1"/>
  <c r="K136" i="1" s="1"/>
  <c r="J135" i="1"/>
  <c r="K135" i="1" s="1"/>
  <c r="J134" i="1"/>
  <c r="K134" i="1" s="1"/>
  <c r="K133" i="1"/>
  <c r="J132" i="1"/>
  <c r="K132" i="1" s="1"/>
  <c r="K131" i="1"/>
  <c r="K130" i="1"/>
  <c r="J129" i="1"/>
  <c r="K129" i="1" s="1"/>
  <c r="J128" i="1"/>
  <c r="K128" i="1" s="1"/>
  <c r="K127" i="1"/>
  <c r="K126" i="1"/>
  <c r="J125" i="1"/>
  <c r="K125" i="1" s="1"/>
  <c r="J123" i="1"/>
  <c r="K123" i="1" s="1"/>
  <c r="J122" i="1"/>
  <c r="K122" i="1" s="1"/>
  <c r="J121" i="1"/>
  <c r="K121" i="1" s="1"/>
  <c r="J120" i="1"/>
  <c r="K120" i="1" s="1"/>
  <c r="K119" i="1"/>
  <c r="J118" i="1"/>
  <c r="K118" i="1" s="1"/>
  <c r="J117" i="1"/>
  <c r="K117" i="1" s="1"/>
  <c r="K116" i="1"/>
  <c r="K115" i="1"/>
  <c r="J114" i="1"/>
  <c r="K114" i="1" s="1"/>
  <c r="K113" i="1"/>
  <c r="J112" i="1"/>
  <c r="K112" i="1" s="1"/>
  <c r="K111" i="1"/>
  <c r="K110" i="1"/>
  <c r="J109" i="1"/>
  <c r="K109" i="1" s="1"/>
  <c r="K108" i="1"/>
  <c r="K107" i="1"/>
  <c r="K106" i="1"/>
  <c r="K105" i="1"/>
  <c r="K104" i="1"/>
  <c r="J103" i="1"/>
  <c r="K103" i="1" s="1"/>
  <c r="K102" i="1"/>
  <c r="K101" i="1"/>
  <c r="K100" i="1"/>
  <c r="K99" i="1"/>
  <c r="K98" i="1"/>
  <c r="K97" i="1"/>
  <c r="K96" i="1"/>
  <c r="K95" i="1"/>
  <c r="K94" i="1"/>
  <c r="K93" i="1"/>
  <c r="J92" i="1"/>
  <c r="K92" i="1" s="1"/>
  <c r="K91" i="1"/>
  <c r="J90" i="1"/>
  <c r="K90" i="1" s="1"/>
  <c r="K89" i="1"/>
  <c r="K88" i="1"/>
  <c r="K87" i="1"/>
  <c r="J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J73" i="1"/>
  <c r="K73" i="1" s="1"/>
  <c r="K72" i="1"/>
  <c r="K71" i="1"/>
  <c r="K70" i="1"/>
  <c r="J69" i="1"/>
  <c r="K69" i="1" s="1"/>
  <c r="J68" i="1"/>
  <c r="K68" i="1" s="1"/>
  <c r="J67" i="1"/>
  <c r="K67" i="1" s="1"/>
  <c r="K66" i="1"/>
  <c r="J65" i="1"/>
  <c r="K65" i="1" s="1"/>
  <c r="K64" i="1"/>
  <c r="K63" i="1"/>
  <c r="K62" i="1"/>
  <c r="K61" i="1"/>
  <c r="J60" i="1"/>
  <c r="K60" i="1" s="1"/>
  <c r="K59" i="1"/>
  <c r="K58" i="1"/>
  <c r="K57" i="1"/>
  <c r="K56" i="1"/>
  <c r="J55" i="1"/>
  <c r="K55" i="1" s="1"/>
  <c r="K54" i="1"/>
  <c r="K53" i="1"/>
  <c r="K52" i="1"/>
  <c r="K51" i="1"/>
  <c r="K50" i="1"/>
  <c r="K49" i="1"/>
  <c r="K48" i="1"/>
  <c r="J47" i="1"/>
  <c r="I47" i="1"/>
  <c r="J46" i="1"/>
  <c r="K46" i="1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20" i="1"/>
  <c r="K20" i="1" s="1"/>
  <c r="J19" i="1"/>
  <c r="K19" i="1" s="1"/>
  <c r="J18" i="1"/>
  <c r="K18" i="1" s="1"/>
  <c r="K17" i="1"/>
  <c r="J16" i="1"/>
  <c r="K16" i="1" s="1"/>
  <c r="K15" i="1"/>
  <c r="K14" i="1"/>
  <c r="J13" i="1"/>
  <c r="K13" i="1" s="1"/>
  <c r="J12" i="1"/>
  <c r="K12" i="1" s="1"/>
  <c r="K11" i="1"/>
  <c r="K10" i="1"/>
  <c r="K9" i="1"/>
  <c r="K8" i="1"/>
  <c r="J7" i="1"/>
  <c r="K7" i="1" s="1"/>
  <c r="I6" i="1"/>
  <c r="K6" i="1" s="1"/>
  <c r="K47" i="1" l="1"/>
</calcChain>
</file>

<file path=xl/sharedStrings.xml><?xml version="1.0" encoding="utf-8"?>
<sst xmlns="http://schemas.openxmlformats.org/spreadsheetml/2006/main" count="2286" uniqueCount="790">
  <si>
    <t>План закупок товаров, работ и услуг на 2025 год</t>
  </si>
  <si>
    <t xml:space="preserve">                                                                                             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</si>
  <si>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</si>
  <si>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</si>
  <si>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</si>
  <si>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</si>
  <si>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</si>
  <si>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</si>
  <si>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</si>
  <si>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</si>
  <si>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</si>
  <si>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</si>
  <si>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</si>
  <si>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</si>
  <si>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</si>
  <si>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</si>
  <si>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</si>
  <si>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</si>
  <si>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</si>
  <si>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</si>
  <si>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</si>
  <si>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</si>
  <si>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</si>
  <si>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</si>
  <si>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HP LaserJet Pro M428fdw КФҚ арналған картридж</t>
  </si>
  <si>
    <t>Картридж для МФУ HP LaserJet Pro M428fdw</t>
  </si>
  <si>
    <t>1 квартал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</si>
  <si>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</si>
  <si>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</si>
  <si>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</si>
  <si>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</si>
  <si>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</si>
  <si>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</si>
  <si>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</si>
  <si>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</si>
  <si>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 (W2130X)</t>
  </si>
  <si>
    <t>Картридж черый (W2130X) для МФУ HP Color LaserJet Enterprise 5800dn</t>
  </si>
  <si>
    <t>HP Color LaserJet Enterprise 5800dn КФҚ арналған көк картридж (W2131X)</t>
  </si>
  <si>
    <t>Картридж голубой (W2131X) для МФУ HP Color LaserJet Enterprise 5800dn</t>
  </si>
  <si>
    <t>HP Color LaserJet Enterprise 5800dn КФҚ арналған сары картридж (W2132X)</t>
  </si>
  <si>
    <t>Картридж желтый (W2132X) для МФУ HP Color LaserJet Enterprise 5800dn</t>
  </si>
  <si>
    <t>HP Color LaserJet Enterprise 5800dn КФҚ арналған күлгін картридж (W2133X)</t>
  </si>
  <si>
    <t>Картридж пурпурный (W2133X) для МФУ HP Color LaserJet Enterprise 5800dn</t>
  </si>
  <si>
    <t>HP LaserJet Pro M426fdw КФҚ арналған қара картридж</t>
  </si>
  <si>
    <t>Картридж черный для МФУ HP LaserJet Pro M426fdw</t>
  </si>
  <si>
    <t>Xerox VersaLink B7025D КФҚ арналған қара картридж</t>
  </si>
  <si>
    <t>Картридж чёрный для МФУ Xerox VersaLink B7025D</t>
  </si>
  <si>
    <t>Фотобарабан</t>
  </si>
  <si>
    <t>Xerox VersaLink_B7025 КҚҚ үшін фотобарабан (түпнұсқа)</t>
  </si>
  <si>
    <t>Фотобарабан (оригинал) для МФУ Xerox VersaLink_B7025</t>
  </si>
  <si>
    <t>А3 форматындағы КҚҚ-ға арналған тонер-картридж</t>
  </si>
  <si>
    <t>Тонер-картридж для МФУ формата А3</t>
  </si>
  <si>
    <t>2 квартал</t>
  </si>
  <si>
    <t>Барабан</t>
  </si>
  <si>
    <t>А3 форматындағы КҚҚ-ға арналған барабан блогы</t>
  </si>
  <si>
    <t>Блок барабана для МФУ формата А3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</si>
  <si>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</si>
  <si>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</si>
  <si>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</si>
  <si>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</si>
  <si>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бухта</t>
  </si>
  <si>
    <t>UTP Cat 6, RJ-45, 10 м кабелі</t>
  </si>
  <si>
    <t>Кабель UTP Cat 6, RJ-45, 10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</si>
  <si>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</si>
  <si>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</si>
  <si>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</si>
  <si>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</si>
  <si>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15 м кабелі</t>
  </si>
  <si>
    <t>Кабель UTP Cat 6, RJ-45, 15 м</t>
  </si>
  <si>
    <t>Коннектор</t>
  </si>
  <si>
    <t>RJ-45 CAT6 8P8C қосқышы</t>
  </si>
  <si>
    <t>Разъем RJ-45 CAT6 8P8C</t>
  </si>
  <si>
    <t>Прямое заключение договора</t>
  </si>
  <si>
    <t>40х16 Кабель-канал</t>
  </si>
  <si>
    <t>Кабель-канал 40х16</t>
  </si>
  <si>
    <t>Метр</t>
  </si>
  <si>
    <t>100х60 Кабель-канал</t>
  </si>
  <si>
    <t>Кабель-канал 100х60</t>
  </si>
  <si>
    <t>4 квартал</t>
  </si>
  <si>
    <t>Қамыт (тұтастырғыш)</t>
  </si>
  <si>
    <t>Хомут (стяжка)</t>
  </si>
  <si>
    <t xml:space="preserve">1 типті кабельді қамыт </t>
  </si>
  <si>
    <t>Хомут кабельный тип 1</t>
  </si>
  <si>
    <t>Упаковка</t>
  </si>
  <si>
    <t xml:space="preserve">2 типті кабельді қамыт </t>
  </si>
  <si>
    <t>Хомут кабельный тип 2</t>
  </si>
  <si>
    <t xml:space="preserve">3 типті кабельді қамыт </t>
  </si>
  <si>
    <t>Хомут кабельный тип 3</t>
  </si>
  <si>
    <t>Ұзартқыш</t>
  </si>
  <si>
    <t>Удлинитель</t>
  </si>
  <si>
    <t>Желілік сүзгіш</t>
  </si>
  <si>
    <t>Сетевой фильтр</t>
  </si>
  <si>
    <t>Батарейка</t>
  </si>
  <si>
    <t>9V батареялары</t>
  </si>
  <si>
    <t>Батарейки 9V</t>
  </si>
  <si>
    <t>АА батареялары (1,5В)</t>
  </si>
  <si>
    <t xml:space="preserve">Батарейки АА (1,5В) </t>
  </si>
  <si>
    <t>ААА батареялары (1,5В)</t>
  </si>
  <si>
    <t xml:space="preserve">Батарейки ААА (1,5В) </t>
  </si>
  <si>
    <t>Жабысқақ таспа</t>
  </si>
  <si>
    <t>Лента липкая</t>
  </si>
  <si>
    <t>Изолента</t>
  </si>
  <si>
    <t>Флюс</t>
  </si>
  <si>
    <t>Шприцтегі канифоль (тұтқыр)</t>
  </si>
  <si>
    <t>Канифоль в шприце (вязкая)</t>
  </si>
  <si>
    <t>Майлық</t>
  </si>
  <si>
    <t>Салфетка</t>
  </si>
  <si>
    <t>Кеңселік техникаға арналған ылғалды майлықтар (100 дана)</t>
  </si>
  <si>
    <t>Салфетки влажные для офисной техники (100 шт)</t>
  </si>
  <si>
    <t>Жұмсақ құрғақ тықыр майлықтар (40 дана)</t>
  </si>
  <si>
    <t>Салфетки мягкие сухие безворсовые (40 шт)</t>
  </si>
  <si>
    <t>Құрғақ тықыр майлықтар (280 дана)</t>
  </si>
  <si>
    <t>Салфетки сухие без ворса (280 шт)</t>
  </si>
  <si>
    <t>Тозаңдатқыш</t>
  </si>
  <si>
    <t>Распылитель</t>
  </si>
  <si>
    <t>Сығылған ауа-пневмотазартқыш 400 мл.</t>
  </si>
  <si>
    <t>Сжатый воздух-пневмоочиститель 400 мл.</t>
  </si>
  <si>
    <t>Тазарту құралы</t>
  </si>
  <si>
    <t>Средство чистящее</t>
  </si>
  <si>
    <t>Резеңкелік беттерді тазалауға және қалпына келтіруге арналған құрал</t>
  </si>
  <si>
    <t>Средство для очистки и восстановления резиновых поверхностей</t>
  </si>
  <si>
    <t>Пластикті беттерді тазалауға арналған құрал</t>
  </si>
  <si>
    <t xml:space="preserve">Средство для очистки пластиковых поверхностей </t>
  </si>
  <si>
    <t>Желім</t>
  </si>
  <si>
    <t>Клей</t>
  </si>
  <si>
    <t>Супер желім</t>
  </si>
  <si>
    <t>Суперклей</t>
  </si>
  <si>
    <t>Термопаста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</si>
  <si>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</si>
  <si>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</si>
  <si>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</si>
  <si>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</si>
  <si>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</si>
  <si>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</si>
  <si>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</si>
  <si>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</si>
  <si>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</si>
  <si>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</si>
  <si>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</si>
  <si>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</si>
  <si>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</si>
  <si>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</si>
  <si>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</si>
  <si>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</si>
  <si>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</si>
  <si>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</si>
  <si>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</si>
  <si>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</si>
  <si>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</si>
  <si>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</si>
  <si>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</si>
  <si>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</si>
  <si>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</si>
  <si>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</si>
  <si>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</si>
  <si>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</si>
  <si>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</si>
  <si>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</si>
  <si>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</si>
  <si>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</si>
  <si>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</si>
  <si>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</si>
  <si>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</si>
  <si>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</si>
  <si>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Қарындаш</t>
  </si>
  <si>
    <t>Карандаш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</si>
  <si>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</si>
  <si>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</si>
  <si>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</si>
  <si>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</si>
  <si>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</si>
  <si>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</si>
  <si>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</si>
  <si>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</si>
  <si>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</si>
  <si>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</si>
  <si>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</si>
  <si>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</si>
  <si>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</si>
  <si>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</si>
  <si>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</si>
  <si>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</si>
  <si>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Сақиналы папка</t>
  </si>
  <si>
    <t>Папка с кольцами</t>
  </si>
  <si>
    <t>5 см тіркеуші</t>
  </si>
  <si>
    <t>Регистратор 5 см</t>
  </si>
  <si>
    <t>Пластикалық байланыстырғыш</t>
  </si>
  <si>
    <t>Скоросшиватель пластиковый</t>
  </si>
  <si>
    <t>Логотипі бар жүгіртпе  папка  ("ҚР ҰБ ҰТК" АҚ)</t>
  </si>
  <si>
    <t>Папка-бегунок с логотипом (АО "НПК НБРК")</t>
  </si>
  <si>
    <t>Бейдж</t>
  </si>
  <si>
    <t>Қағаз</t>
  </si>
  <si>
    <t>Бумага</t>
  </si>
  <si>
    <t>Жабысқақ қабаты бар белгілеуге арналған қағаз 76*125</t>
  </si>
  <si>
    <t>Бумага для заметок с липким слоем 76*125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</si>
  <si>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</si>
  <si>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</si>
  <si>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</si>
  <si>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</si>
  <si>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</si>
  <si>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</si>
  <si>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</si>
  <si>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</si>
  <si>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Қыстырғыш</t>
  </si>
  <si>
    <t>Скрепка</t>
  </si>
  <si>
    <t>Қысқыш 19 мм</t>
  </si>
  <si>
    <t>Зажим 19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</si>
  <si>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</si>
  <si>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</si>
  <si>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</si>
  <si>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</si>
  <si>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</si>
  <si>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</si>
  <si>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Конверт</t>
  </si>
  <si>
    <t>А4 конверті</t>
  </si>
  <si>
    <t>Конверт А4</t>
  </si>
  <si>
    <t>Сызғыш</t>
  </si>
  <si>
    <t>Линейка</t>
  </si>
  <si>
    <t>Пластмассадан жасалған сызғыш</t>
  </si>
  <si>
    <t>Линейка пластмассовая</t>
  </si>
  <si>
    <t>Жіп</t>
  </si>
  <si>
    <t>Нить</t>
  </si>
  <si>
    <t>Құжаттарды тігуге арналған жіп</t>
  </si>
  <si>
    <t>Нить для прошивки документов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</si>
  <si>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</si>
  <si>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</si>
  <si>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</si>
  <si>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</si>
  <si>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</si>
  <si>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</si>
  <si>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</si>
  <si>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</si>
  <si>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</si>
  <si>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</si>
  <si>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</si>
  <si>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</si>
  <si>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</si>
  <si>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</si>
  <si>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</si>
  <si>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</si>
  <si>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</si>
  <si>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</si>
  <si>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</si>
  <si>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</si>
  <si>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</si>
  <si>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Услуга</t>
  </si>
  <si>
    <t xml:space="preserve">Создание дополнительного соглашения 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</si>
  <si>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</si>
  <si>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</si>
  <si>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</si>
  <si>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</si>
  <si>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</si>
  <si>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</si>
  <si>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</si>
  <si>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</si>
  <si>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Тендер</t>
  </si>
  <si>
    <t>РСI PIN Security стандарттары талаптарынының сәйкестігіне сертификаттау аудиті</t>
  </si>
  <si>
    <t>Сертификационный аудит на соответствие требованиям стандартов PCI PIN Security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</si>
  <si>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</si>
  <si>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</si>
  <si>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</si>
  <si>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</si>
  <si>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>4 квартал - ноябрь</t>
  </si>
  <si>
    <t>Ақпараттық қауіпсіздік аудиті</t>
  </si>
  <si>
    <t>Аудит информационной безопасности</t>
  </si>
  <si>
    <t>3 квартал - сентябрь</t>
  </si>
  <si>
    <t>Заңгерлік кеңес беру қызмет көрсетулері</t>
  </si>
  <si>
    <t>Услуги юридические консультационные</t>
  </si>
  <si>
    <t>Заңгерлік сүйемелдеу жөніндегі қызметтер</t>
  </si>
  <si>
    <t>Услуги по юридическому сопровождению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</si>
  <si>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</si>
  <si>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</si>
  <si>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Ақпараттық жүйенің ақпараттық қауіпсіздік талаптарына сәйкестігіне сынақ жүргізу жөніндегі</t>
  </si>
  <si>
    <t>Проведение испытания информационной системы на соответствие требованиям информационной безопасности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</si>
  <si>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</si>
  <si>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</si>
  <si>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</si>
  <si>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</si>
  <si>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</si>
  <si>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</si>
  <si>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</si>
  <si>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</si>
  <si>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</si>
  <si>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</si>
  <si>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</si>
  <si>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</si>
  <si>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</si>
  <si>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</si>
  <si>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</si>
  <si>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</si>
  <si>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</si>
  <si>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Жүкті аралас тасымалдау бойынша қызмет көрсетулер</t>
  </si>
  <si>
    <t>Услуги по смешанной перевозке груза</t>
  </si>
  <si>
    <t>Деректерді өңдеу орталығының жабдықтарын қайта орналастыру</t>
  </si>
  <si>
    <t>Передислокация оборудования Центра обработки данных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</si>
  <si>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</si>
  <si>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</si>
  <si>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</si>
  <si>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</si>
  <si>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</si>
  <si>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</si>
  <si>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</si>
  <si>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</si>
  <si>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>Өрт қауіпсіздігіне оқыту</t>
  </si>
  <si>
    <t>Обучение противопожарной безопасности</t>
  </si>
  <si>
    <t xml:space="preserve">2 квартал </t>
  </si>
  <si>
    <t>Электр кернеуімен жұмыс істеу кезінде қауіпсіздік техникасы бойынша міндетті оқытудан өту</t>
  </si>
  <si>
    <t>Прохождение обязательного обучения по технике безопасности при работе с электрическим напряжением</t>
  </si>
  <si>
    <t>ISO-27001 ақпараттық қауіпсіздікті басқару жүйесін оқыту. Енгізу бойынша жетекші маман</t>
  </si>
  <si>
    <t>Обучение ISO-27001 Системы управления информационной безопасностью. Ведущий специалист по внедрению</t>
  </si>
  <si>
    <t xml:space="preserve">3 квартал </t>
  </si>
  <si>
    <t xml:space="preserve">4 квартал </t>
  </si>
  <si>
    <t>«Қаржылық есептілікті автоматтандыру» курсы бойынша оқыту</t>
  </si>
  <si>
    <t>Обучение по курсу "Автоматизация финансовой отчетности"</t>
  </si>
  <si>
    <t>«Junior Product Manager» курсы бойынша оқыту</t>
  </si>
  <si>
    <t>Обучение по курсу "Junior Product Manager"</t>
  </si>
  <si>
    <t>COBIT 2019 негізінде процестерді ішкі бақылау және бағалау</t>
  </si>
  <si>
    <t>Внутренний контроль и оценка процессов на основе COBIT 2019</t>
  </si>
  <si>
    <t xml:space="preserve">«Red Hat жүйелік әкімшілендіру, I бөлім» курсы бойынша оқыту </t>
  </si>
  <si>
    <t>Обучение по курсу "Системное администрирование Red Hat, часть I"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</si>
  <si>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</si>
  <si>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</si>
  <si>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"CompTIA Cybersecurity Analyst (CySA+)" курсы бойынша оқыту</t>
  </si>
  <si>
    <t>Обучение по курсу "CompTIA Cybersecurity Analyst (CySA+)"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</si>
  <si>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</si>
  <si>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</si>
  <si>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</si>
  <si>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</si>
  <si>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</si>
  <si>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</si>
  <si>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</si>
  <si>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</si>
  <si>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</si>
  <si>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</si>
  <si>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</si>
  <si>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</si>
  <si>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</si>
  <si>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</si>
  <si>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</si>
  <si>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</si>
  <si>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</si>
  <si>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</si>
  <si>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</si>
  <si>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</si>
  <si>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 xml:space="preserve">1 квартал </t>
  </si>
  <si>
    <t>DDoS-шабуылдардан желіні қорғау қызметтері</t>
  </si>
  <si>
    <t>Услуга защиты сети от DDoS-атак</t>
  </si>
  <si>
    <t>Интернет желісіне кіру (Қосшы)</t>
  </si>
  <si>
    <t>Доступ к сети Интернет (Косшы)</t>
  </si>
  <si>
    <t xml:space="preserve">Интернет (ДӨО) желісіне қол жеткізу </t>
  </si>
  <si>
    <t>Доступ к сети Интернет (ЦОД)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</si>
  <si>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</si>
  <si>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</si>
  <si>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</si>
  <si>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</si>
  <si>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</si>
  <si>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</si>
  <si>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</si>
  <si>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</si>
  <si>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</si>
  <si>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Косшы</t>
  </si>
  <si>
    <t>IP VPN арнасының көмегімен байланыс қызметтері Алматы (негізгі)-Астана</t>
  </si>
  <si>
    <t>Услуги связи посредством IP VPN канала Алматы (основной) - Астана</t>
  </si>
  <si>
    <t>IP VPN арнасының көмегімен байланыс қызметтері Алматы (резервтік)-Қосшы</t>
  </si>
  <si>
    <t>Услуги связи посредством IP VPN канала Алматы (резервный) - Косшы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</si>
  <si>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</si>
  <si>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</si>
  <si>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</si>
  <si>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</si>
  <si>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Телекоммуникация қызметтерін көрсету</t>
  </si>
  <si>
    <t>Предоставление услуг телекоммуникаций</t>
  </si>
  <si>
    <t>Телефон байланысы қызметтері</t>
  </si>
  <si>
    <t>Услуги телефонной связи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</si>
  <si>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</si>
  <si>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</si>
  <si>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</si>
  <si>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</si>
  <si>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</si>
  <si>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</si>
  <si>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</si>
  <si>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</si>
  <si>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</si>
  <si>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</si>
  <si>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</si>
  <si>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</si>
  <si>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</si>
  <si>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</si>
  <si>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</si>
  <si>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</si>
  <si>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</si>
  <si>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</si>
  <si>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</si>
  <si>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</si>
  <si>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Galaxy үздіксіз қуат көздеріне техникалық қызмет көрсету</t>
  </si>
  <si>
    <t>Техническое обслуживание источников бесперебойного питания Galaxy (РЦ)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</si>
  <si>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</si>
  <si>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</si>
  <si>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Gamatronic Centric үздіксіз қуат көздеріне техникалық қызмет көрсету</t>
  </si>
  <si>
    <t>Техническое обслуживание источников бесперебойного питания Gamatronic Centric (ОЦ)</t>
  </si>
  <si>
    <t xml:space="preserve">Запрос ценовых предложений 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</si>
  <si>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</si>
  <si>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</si>
  <si>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</si>
  <si>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</si>
  <si>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</si>
  <si>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</si>
  <si>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</si>
  <si>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</si>
  <si>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</si>
  <si>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</si>
  <si>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</si>
  <si>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</si>
  <si>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</si>
  <si>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</si>
  <si>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</si>
  <si>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</si>
  <si>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</si>
  <si>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Төлем жүйесінің жұмыс істеуіне арналған біріңғай бағдарламалық-аппараттық кешеніне техникалық қолдау көрсету</t>
  </si>
  <si>
    <t>Техническая поддержка единого программно-апппаратного комплекса для функционирования платежной системы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</si>
  <si>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</si>
  <si>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</si>
  <si>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</si>
  <si>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</si>
  <si>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</si>
  <si>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</si>
  <si>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</si>
  <si>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</si>
  <si>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</si>
  <si>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</si>
  <si>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</si>
  <si>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</si>
  <si>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</si>
  <si>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</si>
  <si>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 ТЖ Б, ЖЭТЖ ТЖ БҚ, БХАЖ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</si>
  <si>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</si>
  <si>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</si>
  <si>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</si>
  <si>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Сайттарды техникалық қолдау бойынша қызмет көрсетулер</t>
  </si>
  <si>
    <t>Услуги по технической поддержке сайтов</t>
  </si>
  <si>
    <t>"ҰТК" АҚ сайтын сүйемелдеу және техникалық қолдау көрсету</t>
  </si>
  <si>
    <t>Сопровождение и техническая поддержка сайта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</si>
  <si>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</si>
  <si>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</si>
  <si>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1 квартал - январь</t>
  </si>
  <si>
    <t>"Төлем жүйесін интеграциялау шлюзі" БҚ техникалық қолдау көрсету</t>
  </si>
  <si>
    <t>Техническая поддержка ПО "Шлюз интеграции платежных систем"</t>
  </si>
  <si>
    <t>3 квартал - июль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</si>
  <si>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</si>
  <si>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</si>
  <si>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Oracle ЛБҚ техникалық қолдау көрсетуді рәсімдеу</t>
  </si>
  <si>
    <t>Оформление технической поддержки ЛПО Oracle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</si>
  <si>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</si>
  <si>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</si>
  <si>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</si>
  <si>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</si>
  <si>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</si>
  <si>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</si>
  <si>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</si>
  <si>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</si>
  <si>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</si>
  <si>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</si>
  <si>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</si>
  <si>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</si>
  <si>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Комплект</t>
  </si>
  <si>
    <t>CDN (Content Delivery Network) онлайн қызметі</t>
  </si>
  <si>
    <t>Online услуга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</si>
  <si>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</si>
  <si>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</si>
  <si>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</si>
  <si>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</si>
  <si>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Есептеу ресурстарын жалға алу</t>
  </si>
  <si>
    <t>Аренда вычислительных ресурсов</t>
  </si>
  <si>
    <t>Желілік инфрақұрылым мониторингі үшін бағдарламалық қамтамасыз етуге жазылу</t>
  </si>
  <si>
    <t>Подписка на программное обеспечение для мониторинга сетевой инфраструктуры</t>
  </si>
  <si>
    <t>Бағдарламалық қамсыздандыруды әзірлеу платформасына арналған лицензияларына жазылу</t>
  </si>
  <si>
    <t>Подписка на лицензии для платформы разработки программного обеспечения</t>
  </si>
  <si>
    <t>Әзірлеудің интеграцияланған ортасын бағдарламалық қамтамасыз ету үшін лицензияларға жазылу</t>
  </si>
  <si>
    <t>Подписка на лицензии для программного обеспечения интегрированной среды разработки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</si>
  <si>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</si>
  <si>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</si>
  <si>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</si>
  <si>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</si>
  <si>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</si>
  <si>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</si>
  <si>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</si>
  <si>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</si>
  <si>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</si>
  <si>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</si>
  <si>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Интернет желісіне пайдаланушыларды орталықтандырылған кіруді ұйымдастыруға арналған лицензияларды ұзарту</t>
  </si>
  <si>
    <t>Продление лицензий для устройств централизованного доступа пользователей к сети Интернет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</si>
  <si>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</si>
  <si>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</si>
  <si>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</si>
  <si>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</si>
  <si>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</si>
  <si>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</si>
  <si>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</si>
  <si>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</si>
  <si>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</si>
  <si>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</si>
  <si>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</si>
  <si>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</si>
  <si>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Командаларға қолайлы нұсқалар жүйесі мен қолжетімділікті басқаратын техникалық материалдарды жасауға, құрылымдауға және жариялауға мүмкіндік беретін құжаттамамен бірлесіп жұмыс істеу үшін лицензияларға жазылу қызметтері</t>
  </si>
  <si>
    <t>Подписка на лицензии для совместной работы над документацией, который позволяет командам создавать, структурировать и публиковать технические материалы с удобной системой версий и управлением доступом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</si>
  <si>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</si>
  <si>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</si>
  <si>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Осалдықтарды басқару жөніндегі БҚ жазылымын ұзарту</t>
  </si>
  <si>
    <t>Продление подписки на ПО по управлению уязвимостями</t>
  </si>
  <si>
    <t>Dr.Web Server Security Suite вирусқа қарсы БҚ жазылымын ұзарту</t>
  </si>
  <si>
    <t>Продление подписки на антивирусное ПО Dr.Web Server Security Suite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</si>
  <si>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</si>
  <si>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</si>
  <si>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</si>
  <si>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</si>
  <si>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</si>
  <si>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</si>
  <si>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</si>
  <si>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</si>
  <si>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</si>
  <si>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</si>
  <si>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</si>
  <si>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</si>
  <si>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</si>
  <si>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</si>
  <si>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</si>
  <si>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Подписка для построения гибрида Microsoft 365</t>
  </si>
  <si>
    <t>Microsoft 365 БҚ (Copilot лицензиялары) толық жабдықтау</t>
  </si>
  <si>
    <t>Доукомплетование ПО Microsoft 365 (лицензии Copilot)</t>
  </si>
  <si>
    <t>Microsoft 365  БҚ (Business Basic лицензиялары) толық жабдықтау</t>
  </si>
  <si>
    <t>Доукомплетование ПО Microsoft 365 (лицензии Business Basic)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</si>
  <si>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</si>
  <si>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</si>
  <si>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Бағдарламалық қамтамасыз етуді орнату/баптау бойынша қызметтер</t>
  </si>
  <si>
    <t>Услуги по установке/настройке программного обеспечения</t>
  </si>
  <si>
    <t>ITAM және конфигурацияны басқару дерекқорын құруға арналған шешімдері қызметтері</t>
  </si>
  <si>
    <t>ITAM и решение для построения базы данных управления конфигурацией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</si>
  <si>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</si>
  <si>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</si>
  <si>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</si>
  <si>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</si>
  <si>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</si>
  <si>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</si>
  <si>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Қауіпсіздікті тестілеу (Continiuos Pentest) қызметтері</t>
  </si>
  <si>
    <t>Услуги тестирования защищенности (Continiuos Pentest)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</si>
  <si>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</si>
  <si>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</si>
  <si>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</si>
  <si>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</si>
  <si>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>Виртуалды желіаралық экран қызметтері (Қосшы)</t>
  </si>
  <si>
    <t>Услуги виртуального межсетевого экрана (Косшы)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</si>
  <si>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</si>
  <si>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</si>
  <si>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</si>
  <si>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</si>
  <si>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Тұрғын емес үй-жайларды жалға алу Қосшы</t>
  </si>
  <si>
    <t>Аренда нежилых помещений Косшы</t>
  </si>
  <si>
    <t>(Астана) тіректері бар тұрғын емес үй-жайларды жалдау қызметтері</t>
  </si>
  <si>
    <t>Аренда нежилых помещений со стойками (Астана)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</si>
  <si>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</si>
  <si>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</si>
  <si>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</si>
  <si>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</si>
  <si>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</si>
  <si>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</si>
  <si>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</si>
  <si>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</si>
  <si>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</si>
  <si>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</si>
  <si>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</si>
  <si>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</si>
  <si>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</si>
  <si>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</si>
  <si>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</si>
  <si>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</si>
  <si>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</si>
  <si>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</si>
  <si>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</si>
  <si>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</si>
  <si>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</si>
  <si>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</si>
  <si>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</si>
  <si>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</si>
  <si>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</si>
  <si>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</si>
  <si>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</si>
  <si>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</si>
  <si>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</si>
  <si>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</si>
  <si>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</si>
  <si>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</si>
  <si>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</si>
  <si>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Команда құруға бағытталған тимбилдинг өткізу</t>
  </si>
  <si>
    <t>Проведение тимбилдинга, направленного на командообразование</t>
  </si>
  <si>
    <t>Контрагенттерді тексеру жөніндегі ақпараттық жүйеге қосу жөніндегі қызметтер</t>
  </si>
  <si>
    <t>Услуги по подключению к информационной системе по проверке контрагентов</t>
  </si>
  <si>
    <t>Жеке тұлғаларды (кандидаттарды) тексеру жөніндегі мамандандырылған ақпараттық жүйеге қосу жөніндегі қызметтер</t>
  </si>
  <si>
    <t>Услуги по подключению к специализированной информационной системе по проверке физических лиц (кандидатов)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</si>
  <si>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</si>
  <si>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</si>
  <si>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</si>
  <si>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</si>
  <si>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</si>
  <si>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</si>
  <si>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</si>
  <si>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</si>
  <si>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</si>
  <si>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</si>
  <si>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</si>
  <si>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</si>
  <si>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</si>
  <si>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</si>
  <si>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Мүлікті жою бойынша қызметтер</t>
  </si>
  <si>
    <t>Услуги по утилизации имущества</t>
  </si>
  <si>
    <t>Жабдықтарды кәдеге жарату</t>
  </si>
  <si>
    <t>Утилизация оборудования</t>
  </si>
  <si>
    <t>Басып шығару қызметінің қызмет көрсетулері</t>
  </si>
  <si>
    <t>Услуги сервиса печати</t>
  </si>
  <si>
    <t>Типографиялық қызметтері</t>
  </si>
  <si>
    <t>Услуги типографии</t>
  </si>
  <si>
    <t>Ақпараттық және имидждік ілесу бойынша қызметтер</t>
  </si>
  <si>
    <t>Услуги по информационному и имиджевому сопровождению</t>
  </si>
  <si>
    <t>Графикалық дизайн қызметтері</t>
  </si>
  <si>
    <t>Услуги графического дизайна</t>
  </si>
  <si>
    <t>Бейнеролик-презентацияны әзірлеу қызметтері</t>
  </si>
  <si>
    <t>Услуги разработки видеоролика-презентации</t>
  </si>
  <si>
    <t>Деректі фильм түсіру бойынша қызметтері</t>
  </si>
  <si>
    <t xml:space="preserve">Услуги по съемке документального фильма </t>
  </si>
  <si>
    <t>Видеоматериалдарды (жарнама мен фильмдерден басқасы) өндірісі (дайындау) бойынша жұмыстар</t>
  </si>
  <si>
    <t>Работы по производству (изготовлению) видеоматериалов (кроме рекламы и фильмов)</t>
  </si>
  <si>
    <t>Бейнеролик  жасау</t>
  </si>
  <si>
    <t>Создание видеоролика</t>
  </si>
  <si>
    <t>SMM сүйемелдеу бойынша қызметтер</t>
  </si>
  <si>
    <t>Услуги по SMM сопровождению</t>
  </si>
  <si>
    <t>Медиа-сүйемелдеу бойынша қызметтер</t>
  </si>
  <si>
    <t>Услуги по медиа-сопровождению</t>
  </si>
  <si>
    <t>Ақпараттық-көрме конструкциясын жалдау бойынша қызметтер</t>
  </si>
  <si>
    <t>Услуги по аренде информационно-выставочных конструкций</t>
  </si>
  <si>
    <t>Көрме стендін жалға алу бойынша іс-шараларды ұйымдастыру қызметі</t>
  </si>
  <si>
    <t>Услуги по организации мероприятия по аренде выставочного стенда</t>
  </si>
  <si>
    <t>Жүргізушілерді ұсыну жөніндегі іс-шараларды ұйымдастыру қызметі</t>
  </si>
  <si>
    <t xml:space="preserve">Услуги организации мероприятия по предоставлению ведущих </t>
  </si>
  <si>
    <t>Аналитикалық, тұсаукесерлік, үлестірме материалдардың және басқа да көрнекі шешімдердің дизайны</t>
  </si>
  <si>
    <t>Дизайн аналитических, презентационных, раздаточных материалов и других визуальных решений</t>
  </si>
  <si>
    <t>Пуловер</t>
  </si>
  <si>
    <t>Demo-day қатысушыларына арналған свитшоттар</t>
  </si>
  <si>
    <t>Свитшоты для участников demo-day</t>
  </si>
  <si>
    <t>Жазбаға арналған қойын дәптер</t>
  </si>
  <si>
    <t>Блокнот для записей</t>
  </si>
  <si>
    <t>Demo-day қатысушыларына арналған кеңсе блокноттары</t>
  </si>
  <si>
    <t>Блокноты канцелярские для участников demo-day</t>
  </si>
  <si>
    <t>Demo-day қатысушыларына арналған шарикті кеңсе қаламдары</t>
  </si>
  <si>
    <t>Ручки шариковые канцелярские для участников demo-day</t>
  </si>
  <si>
    <t>Баннер</t>
  </si>
  <si>
    <t>Demo-day қатысушыларына арналған құрылымы бар баннер</t>
  </si>
  <si>
    <t>Баннер с конструкцией для участников demo-day</t>
  </si>
  <si>
    <t>Demo-day қатысушыларына арналған бейджиктері бар ланъярдтар</t>
  </si>
  <si>
    <t>Ланъярды с бейджиками для участников demo-day</t>
  </si>
  <si>
    <t>Визаларды, консульдық жинақты ресімдеу бойынша қызметтер</t>
  </si>
  <si>
    <t>Услуги по оформлению виз, консульский сбор</t>
  </si>
  <si>
    <t>Шығу визаларын (iскерлiк) ресімдеу</t>
  </si>
  <si>
    <t>Оформление выездных виз (деловая)</t>
  </si>
  <si>
    <t>Тақтай</t>
  </si>
  <si>
    <t>Доска</t>
  </si>
  <si>
    <t>100x150mm магниттік маркерлік қабырға тақтасы</t>
  </si>
  <si>
    <t>Доска магнитно-маркерная настенная 100х150мм</t>
  </si>
  <si>
    <t>Мөрқалып жастықшасы</t>
  </si>
  <si>
    <t>Подушка штемпельная</t>
  </si>
  <si>
    <t>Өлшемі 47х18мм  мөртабан</t>
  </si>
  <si>
    <t>Штамп размером 47х18мм</t>
  </si>
  <si>
    <t>Оптикалық жетек</t>
  </si>
  <si>
    <t>Привод оптический</t>
  </si>
  <si>
    <t>USB оптикалық жетегі</t>
  </si>
  <si>
    <t>Оптический привод USB</t>
  </si>
  <si>
    <t>Ақпаратты криптографиялық қорғау құралы</t>
  </si>
  <si>
    <t>Средство криптографической защиты информации</t>
  </si>
  <si>
    <t>Token қорғалған USB негізгі ақпарат тасымалдаушысы</t>
  </si>
  <si>
    <t>Защищенный USB носитель ключевой информации token</t>
  </si>
  <si>
    <t>Флеш жинаушы</t>
  </si>
  <si>
    <t>Флеш-накопитель</t>
  </si>
  <si>
    <t>64GB USB флэш жинақтаушысы</t>
  </si>
  <si>
    <t xml:space="preserve">USB Флэш накопители 64Gb </t>
  </si>
  <si>
    <t>Бетперде</t>
  </si>
  <si>
    <t>Маска</t>
  </si>
  <si>
    <t>Гиперреалистік 3Д бет маскасы</t>
  </si>
  <si>
    <t>Гиперреалистичная 3Д маска лица</t>
  </si>
  <si>
    <t>Шамшырақ</t>
  </si>
  <si>
    <t>Светильник</t>
  </si>
  <si>
    <t>Жарықдиодты жарықтандыру</t>
  </si>
  <si>
    <t>Светодиодное освещение</t>
  </si>
  <si>
    <t>Монитор</t>
  </si>
  <si>
    <t>1 типті монитор</t>
  </si>
  <si>
    <t>Монитор тип 1</t>
  </si>
  <si>
    <t>2 типті монитор</t>
  </si>
  <si>
    <t>Монитор тип 2</t>
  </si>
  <si>
    <t>3 типті монитор</t>
  </si>
  <si>
    <t>Монитор тип 3</t>
  </si>
  <si>
    <t>Компьютер</t>
  </si>
  <si>
    <t>1 типті моноблок</t>
  </si>
  <si>
    <t>Моноблок тип 1</t>
  </si>
  <si>
    <t>2 типті моноблок</t>
  </si>
  <si>
    <t>Моноблок тип 2</t>
  </si>
  <si>
    <t>3 типті моноблок</t>
  </si>
  <si>
    <t>Моноблок тип 3</t>
  </si>
  <si>
    <t>Ноутбук</t>
  </si>
  <si>
    <t>1 типті ноутбук</t>
  </si>
  <si>
    <t>Ноутбук тип 1</t>
  </si>
  <si>
    <t>2 типті ноутбук</t>
  </si>
  <si>
    <t>Ноутбук тип 2</t>
  </si>
  <si>
    <t>Неттоп</t>
  </si>
  <si>
    <t>Портативті монитор</t>
  </si>
  <si>
    <t>Портативный монитор</t>
  </si>
  <si>
    <t>Жүйелі блок</t>
  </si>
  <si>
    <t>Блок системный</t>
  </si>
  <si>
    <t>Жүйелік блок</t>
  </si>
  <si>
    <t>Системный блок</t>
  </si>
  <si>
    <t>SFP трансивер қабылдағыш-жібергіш</t>
  </si>
  <si>
    <t>Приемопередатчик трансивер SFP</t>
  </si>
  <si>
    <t>SR 10Gb/25Gb адаптерлер</t>
  </si>
  <si>
    <t>Адаптеры 10Gb/25Gb SR</t>
  </si>
  <si>
    <t>RAM жедел жадының модулі</t>
  </si>
  <si>
    <t>Модуль оперативной памяти RAM</t>
  </si>
  <si>
    <t>Жедел жад модульдері </t>
  </si>
  <si>
    <t>Модули оперативной памяти</t>
  </si>
  <si>
    <t>Телефон аппараты</t>
  </si>
  <si>
    <t>Аппарат телефонный</t>
  </si>
  <si>
    <t xml:space="preserve">Камерасы бар Cisco IP-телефон </t>
  </si>
  <si>
    <t>IP-телефон Cisco с камерой</t>
  </si>
  <si>
    <t>Сервер</t>
  </si>
  <si>
    <t>ТКБЖ сервері</t>
  </si>
  <si>
    <t>Сервера МСПК</t>
  </si>
  <si>
    <t>Ішкі домен серверлері</t>
  </si>
  <si>
    <t>Сервера внутреннего домена</t>
  </si>
  <si>
    <t>Oracle сервері</t>
  </si>
  <si>
    <t>Сервера Oracle</t>
  </si>
  <si>
    <t xml:space="preserve">1 типті ЖИ сервері </t>
  </si>
  <si>
    <t>Сервера ИИ тип 1</t>
  </si>
  <si>
    <t>2 типті ЖИ сервері</t>
  </si>
  <si>
    <t>Сервера ИИ тип 2</t>
  </si>
  <si>
    <t>Дискті массив</t>
  </si>
  <si>
    <t>Массив дисковый</t>
  </si>
  <si>
    <t>Ақпараттық жүйелерге арналған деректерді сақтау жүйесіне жинақтауыштар</t>
  </si>
  <si>
    <t>Накопители к системе хранения данных для информационных систем</t>
  </si>
  <si>
    <t>Көп функциялық құрылғы</t>
  </si>
  <si>
    <t>Устройство многофункциональное</t>
  </si>
  <si>
    <t>Карта оқу құрылғысы A3 форматындағы  КФҚ</t>
  </si>
  <si>
    <t>МФУ формата А3 со считывателем карт</t>
  </si>
  <si>
    <t>Адаптер</t>
  </si>
  <si>
    <t>FC серверлер үшін адаптерлер</t>
  </si>
  <si>
    <t>FC адаптеры для серверов</t>
  </si>
  <si>
    <t>Қатты диск</t>
  </si>
  <si>
    <t>Диск жесткий</t>
  </si>
  <si>
    <t>Серверлерге арналған SSD-дискiлерi</t>
  </si>
  <si>
    <t>SSD-диски для серверов</t>
  </si>
  <si>
    <t>Мамандандырылған жүйе</t>
  </si>
  <si>
    <t>Система специализированная</t>
  </si>
  <si>
    <t>Конференц-зал жабдықтарын жаңғырту</t>
  </si>
  <si>
    <t xml:space="preserve">Модернизация оборудования конференц зала </t>
  </si>
  <si>
    <t>Желілік коммутатор</t>
  </si>
  <si>
    <t>Коммутатор сетевой</t>
  </si>
  <si>
    <t>Коммутатор түрi 1</t>
  </si>
  <si>
    <t>Коммутатор тип 1</t>
  </si>
  <si>
    <t>Коммутатор түрi 2</t>
  </si>
  <si>
    <t>Коммутатор тип 2</t>
  </si>
  <si>
    <t>Аккумулятор</t>
  </si>
  <si>
    <t>Аккумуляторлық батареялар (12В, 100А/сағ)</t>
  </si>
  <si>
    <t>Аккумуляторные батареи (12В, 100А/ч)</t>
  </si>
  <si>
    <t>Бағдарламалық қамтамасыз ету</t>
  </si>
  <si>
    <t>Программное обеспечение</t>
  </si>
  <si>
    <t xml:space="preserve">ЛБҚ ақпаратты қорғалған жеткізуге арналған </t>
  </si>
  <si>
    <t>ЛПО защищенной доставки информации</t>
  </si>
  <si>
    <t>комплект</t>
  </si>
  <si>
    <t>Бағдарламалық қамтамасыз етуді әзірлеу бойынша жұмыстар</t>
  </si>
  <si>
    <t>Работы по разработке программного обеспечения</t>
  </si>
  <si>
    <t xml:space="preserve">«Антифрод-орталықтың ЖИ-агенттері» БҚ әзірлеу жөніндегі жұмыстар </t>
  </si>
  <si>
    <t>Работы по разработке ПО "ИИ-агенты Антифрод-центра"</t>
  </si>
  <si>
    <t>Бағдарламалық қамтамасыз етуді жаңарту бойынша қызметтер</t>
  </si>
  <si>
    <t>Услуги по модификации программного обеспечения</t>
  </si>
  <si>
    <t>1С Предприятие БҚ дамыту</t>
  </si>
  <si>
    <t>Развитие ПО 1С Предприятие</t>
  </si>
  <si>
    <t>1С Предприятие БҚ дамыту (4 токсан)</t>
  </si>
  <si>
    <t>Развитие ПО 1С Предприятие (4 квартал)</t>
  </si>
  <si>
    <t>Сыртқы пайдаланушылардың өтініштерін басқару жүйесін дамыту</t>
  </si>
  <si>
    <t>Развитие системы управления обращения внешних пользователей</t>
  </si>
  <si>
    <t>ТЖ БҚ және БХАЖ БҚ дамыту</t>
  </si>
  <si>
    <t>Развитие ПО ПС  и ПО СОБС</t>
  </si>
  <si>
    <t>Оpen API бағдарламалық интерфейстері бойынша ақпарат алмасудың банкаралық жүйесін функционалдық пысықтау жөніндегі қызметтерi</t>
  </si>
  <si>
    <t>Услуги функциональной доработки Межбанковской системы обмена информацией по открытым программным интерфейсам Open API</t>
  </si>
  <si>
    <t>Председатель Правления</t>
  </si>
  <si>
    <t>Ж. Самаева</t>
  </si>
  <si>
    <t xml:space="preserve"> Утвержден приказом
Председателя Правления АО "НПК НБК"
от 28.11.2025 года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</si>
</sst>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0" xfId="0" applyFont="1"/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>
      <alignment horizontal="center" wrapText="1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49" fontId="1" fillId="0" borderId="11" xfId="0" applyNumberFormat="1" applyFont="1" applyBorder="1" applyAlignment="1">
      <alignment horizontal="left" wrapText="1"/>
    </xf>
    <xf numFmtId="4" fontId="1" fillId="0" borderId="0" xfId="0" applyNumberFormat="1" applyFont="1"/>
    <xf numFmtId="0" fontId="1" fillId="0" borderId="10" xfId="0" applyFont="1" applyBorder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0" borderId="10" xfId="0" applyNumberFormat="1" applyFont="1" applyBorder="1" applyAlignment="1">
      <alignment horizontal="center"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4" fontId="1" fillId="0" borderId="11" xfId="0" applyNumberFormat="1" applyFont="1" applyBorder="1" applyAlignment="1">
      <alignment horizontal="center"/>
    </xf>
    <xf numFmtId="49" fontId="1" fillId="0" borderId="10" xfId="2" applyNumberFormat="1" applyFont="1" applyBorder="1" applyAlignment="1" applyProtection="1">
      <alignment horizontal="left" wrapText="1"/>
      <protection locked="0"/>
    </xf>
    <xf numFmtId="166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8" fillId="0" borderId="0" xfId="0" applyNumberFormat="1" applyFont="1"/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4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1" applyNumberFormat="1" applyFont="1" applyFill="1" applyBorder="1" applyAlignment="1">
      <alignment horizontal="center"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  <protection hidden="1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1" applyNumberFormat="1" applyFont="1" applyFill="1" applyBorder="1" applyAlignment="1">
      <alignment horizontal="center" vertical="center" wrapText="1"/>
    </xf>
    <xf numFmtId="1" fontId="3" fillId="3" borderId="7" xfId="1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 xr:uid="{B10329DD-BC1A-499B-9677-944DD69CE3B5}"/>
    <cellStyle name="Обычный 3 2" xfId="2" xr:uid="{FA3910ED-D67C-4887-A608-52B47A6F4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.%20&#1055;&#1083;&#1072;&#1085;%20&#1079;&#1072;&#1082;&#1091;&#1087;&#1086;&#1082;%20&#1058;&#1056;&#1059;%20&#1085;&#1072;%202025%20&#1075;&#1086;&#1076;%20&#1060;&#104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/Users/Aisulu/AppData/Local/Microsoft/Windows/Temporary%20Internet%20Files/Content.Outlook/OULWSY85/Users/irina/AppData/Local/Microsoft/Windows/Temporary%20Internet%20Files/Content.Outlook/XX0F3KF4/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4;&#1090;&#1095;&#1077;&#1090;&#1099;/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лан закупок ТРУ"/>
      <sheetName val="выписка"/>
      <sheetName val="БНПЗ (1)"/>
      <sheetName val="бюджет (1)"/>
      <sheetName val="Проверка по корр ПЗ, БНПЗ, бюдж"/>
      <sheetName val="бюджет (2)"/>
      <sheetName val="подразделения"/>
      <sheetName val="смета расходов"/>
      <sheetName val="БНПЗ"/>
      <sheetName val="Бюджет"/>
      <sheetName val="смета 2025"/>
      <sheetName val="план кап расходов"/>
      <sheetName val="ФинПлан-"/>
      <sheetName val="смета расходов (01.07.2025)"/>
      <sheetName val="Аренда"/>
      <sheetName val="биометрия-Liveness"/>
      <sheetName val="БНПЗ111"/>
      <sheetName val="Алльянс-Факторс"/>
      <sheetName val="авиабилеты2025"/>
      <sheetName val="SWIFT Master"/>
      <sheetName val="mastercard"/>
      <sheetName val="доступ к Swift"/>
      <sheetName val="аренда BI"/>
      <sheetName val="Смета"/>
    </sheetNames>
    <sheetDataSet>
      <sheetData sheetId="0"/>
      <sheetData sheetId="1"/>
      <sheetData sheetId="2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35">
          <cell r="D135">
            <v>2173048.3591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FD79-4CF7-4EBE-8E5C-535E9485AD20}">
  <sheetPr>
    <pageSetUpPr fitToPage="1"/>
  </sheetPr>
  <dimension ref="A1:Y343"/>
  <sheetViews>
    <sheetView tabSelected="1" zoomScale="68" zoomScaleNormal="68" zoomScalePageLayoutView="75" workbookViewId="0">
      <pane ySplit="4" topLeftCell="A272" activePane="bottomLeft" state="frozen"/>
      <selection activeCell="G166" sqref="G166"/>
      <selection pane="bottomLeft" activeCell="G284" sqref="G284"/>
    </sheetView>
  </sheetViews>
  <sheetFormatPr defaultRowHeight="15" x14ac:dyDescent="0.25"/>
  <cols>
    <col min="1" max="1" width="4.28515625" customWidth="1"/>
    <col min="2" max="2" width="16.85546875" customWidth="1"/>
    <col min="3" max="3" width="38" customWidth="1"/>
    <col min="4" max="4" width="36.7109375" customWidth="1"/>
    <col min="5" max="5" width="42" customWidth="1"/>
    <col min="6" max="6" width="41" customWidth="1"/>
    <col min="7" max="7" width="20.85546875" customWidth="1"/>
    <col min="8" max="8" width="15" customWidth="1"/>
    <col min="9" max="9" width="14.7109375" customWidth="1"/>
    <col min="10" max="10" width="20.140625" customWidth="1"/>
    <col min="11" max="11" width="19.5703125" customWidth="1"/>
    <col min="12" max="12" width="23.7109375" customWidth="1"/>
    <col min="13" max="13" width="25" customWidth="1"/>
    <col min="14" max="14" width="20.140625" customWidth="1"/>
    <col min="15" max="15" width="17.7109375" customWidth="1"/>
    <col min="16" max="16" width="23.42578125" customWidth="1"/>
  </cols>
  <sheetData>
    <row r="1" spans="2:16" s="6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2"/>
      <c r="N1" s="5"/>
      <c r="O1" s="1"/>
      <c r="P1" s="1"/>
    </row>
    <row r="2" spans="2:16" ht="48.75" customHeight="1" thickBot="1" x14ac:dyDescent="0.3">
      <c r="B2" s="8"/>
      <c r="C2" s="6"/>
      <c r="D2" s="6"/>
      <c r="E2" s="6"/>
      <c r="F2" s="6"/>
      <c r="G2" s="8"/>
      <c r="H2" s="8"/>
      <c r="I2" s="8"/>
      <c r="J2" s="8"/>
      <c r="K2" s="9" t="s">
        <v>1</v>
      </c>
      <c r="L2" s="10" t="s">
        <v>1</v>
      </c>
      <c r="M2" s="10" t="s">
        <v>1</v>
      </c>
      <c r="N2" s="11" t="s">
        <v>789</v>
      </c>
      <c r="O2" s="11"/>
      <c r="P2" s="12"/>
    </row>
    <row r="3" spans="2:16" s="14" customFormat="1" ht="37.5" customHeight="1" x14ac:dyDescent="0.25">
      <c r="B3" s="48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50" t="s">
        <v>7</v>
      </c>
      <c r="H3" s="50" t="s">
        <v>8</v>
      </c>
      <c r="I3" s="51" t="s">
        <v>9</v>
      </c>
      <c r="J3" s="51" t="s">
        <v>10</v>
      </c>
      <c r="K3" s="51" t="s">
        <v>11</v>
      </c>
      <c r="L3" s="51" t="s">
        <v>12</v>
      </c>
      <c r="M3" s="51" t="s">
        <v>13</v>
      </c>
      <c r="N3" s="51" t="s">
        <v>14</v>
      </c>
      <c r="O3" s="52" t="s">
        <v>15</v>
      </c>
      <c r="P3" s="53" t="s">
        <v>16</v>
      </c>
    </row>
    <row r="4" spans="2:16" s="14" customFormat="1" ht="37.5" customHeight="1" thickBot="1" x14ac:dyDescent="0.3">
      <c r="B4" s="54"/>
      <c r="C4" s="55"/>
      <c r="D4" s="55"/>
      <c r="E4" s="55"/>
      <c r="F4" s="55"/>
      <c r="G4" s="56"/>
      <c r="H4" s="56"/>
      <c r="I4" s="57"/>
      <c r="J4" s="57"/>
      <c r="K4" s="57"/>
      <c r="L4" s="57"/>
      <c r="M4" s="57"/>
      <c r="N4" s="57"/>
      <c r="O4" s="58"/>
      <c r="P4" s="59"/>
    </row>
    <row r="5" spans="2:16" s="1" customFormat="1" ht="12.75" x14ac:dyDescent="0.2">
      <c r="B5" s="15">
        <v>1</v>
      </c>
      <c r="C5" s="16">
        <v>2</v>
      </c>
      <c r="D5" s="16">
        <v>3</v>
      </c>
      <c r="E5" s="16">
        <v>4</v>
      </c>
      <c r="F5" s="16">
        <v>5</v>
      </c>
      <c r="G5" s="15">
        <v>6</v>
      </c>
      <c r="H5" s="15">
        <v>7</v>
      </c>
      <c r="I5" s="15">
        <v>8</v>
      </c>
      <c r="J5" s="15">
        <v>9</v>
      </c>
      <c r="K5" s="17">
        <v>10</v>
      </c>
      <c r="L5" s="15">
        <v>11</v>
      </c>
      <c r="M5" s="15">
        <v>12</v>
      </c>
      <c r="N5" s="15">
        <v>13</v>
      </c>
      <c r="O5" s="15">
        <v>14</v>
      </c>
      <c r="P5" s="18">
        <v>15</v>
      </c>
    </row>
    <row r="6" spans="2:16" ht="28.5" customHeight="1" x14ac:dyDescent="0.25">
      <c r="B6" s="20" t="s">
        <v>17</v>
      </c>
      <c r="C6" s="21" t="s">
        <v>18</v>
      </c>
      <c r="D6" s="21" t="s">
        <v>18</v>
      </c>
      <c r="E6" s="21" t="s">
        <v>19</v>
      </c>
      <c r="F6" s="21" t="s">
        <v>20</v>
      </c>
      <c r="G6" s="60" t="s">
        <v>21</v>
      </c>
      <c r="H6" s="61" t="s">
        <v>22</v>
      </c>
      <c r="I6" s="22">
        <f>25-24+19</f>
        <v>20</v>
      </c>
      <c r="J6" s="22">
        <v>32169.66</v>
      </c>
      <c r="K6" s="22">
        <f t="shared" ref="K6:K11" si="0">I6*J6</f>
        <v>643393.19999999995</v>
      </c>
      <c r="L6" s="22"/>
      <c r="M6" s="23"/>
      <c r="N6" s="22"/>
      <c r="O6" s="60" t="s">
        <v>23</v>
      </c>
      <c r="P6" s="24"/>
    </row>
    <row r="7" spans="2:16" ht="26.25" customHeight="1" x14ac:dyDescent="0.25">
      <c r="B7" s="20" t="s">
        <v>17</v>
      </c>
      <c r="C7" s="21" t="s">
        <v>18</v>
      </c>
      <c r="D7" s="21" t="s">
        <v>18</v>
      </c>
      <c r="E7" s="21" t="s">
        <v>24</v>
      </c>
      <c r="F7" s="21" t="s">
        <v>25</v>
      </c>
      <c r="G7" s="60" t="s">
        <v>21</v>
      </c>
      <c r="H7" s="61" t="s">
        <v>22</v>
      </c>
      <c r="I7" s="22">
        <v>15</v>
      </c>
      <c r="J7" s="22">
        <f>113750-18217.05-2382.95</f>
        <v>93150</v>
      </c>
      <c r="K7" s="22">
        <f t="shared" si="0"/>
        <v>1397250</v>
      </c>
      <c r="L7" s="22"/>
      <c r="M7" s="23"/>
      <c r="N7" s="22"/>
      <c r="O7" s="60" t="s">
        <v>26</v>
      </c>
      <c r="P7" s="24"/>
    </row>
    <row r="8" spans="2:16" ht="28.5" customHeight="1" x14ac:dyDescent="0.25">
      <c r="B8" s="20" t="s">
        <v>17</v>
      </c>
      <c r="C8" s="21" t="s">
        <v>18</v>
      </c>
      <c r="D8" s="21" t="s">
        <v>18</v>
      </c>
      <c r="E8" s="21" t="s">
        <v>27</v>
      </c>
      <c r="F8" s="21" t="s">
        <v>28</v>
      </c>
      <c r="G8" s="60" t="s">
        <v>21</v>
      </c>
      <c r="H8" s="61" t="s">
        <v>22</v>
      </c>
      <c r="I8" s="22">
        <v>3</v>
      </c>
      <c r="J8" s="22">
        <v>114700</v>
      </c>
      <c r="K8" s="22">
        <f t="shared" si="0"/>
        <v>344100</v>
      </c>
      <c r="L8" s="22"/>
      <c r="M8" s="23"/>
      <c r="N8" s="22"/>
      <c r="O8" s="60" t="s">
        <v>26</v>
      </c>
      <c r="P8" s="24"/>
    </row>
    <row r="9" spans="2:16" ht="27.75" customHeight="1" x14ac:dyDescent="0.25">
      <c r="B9" s="20" t="s">
        <v>17</v>
      </c>
      <c r="C9" s="21" t="s">
        <v>18</v>
      </c>
      <c r="D9" s="21" t="s">
        <v>18</v>
      </c>
      <c r="E9" s="21" t="s">
        <v>29</v>
      </c>
      <c r="F9" s="21" t="s">
        <v>30</v>
      </c>
      <c r="G9" s="60" t="s">
        <v>21</v>
      </c>
      <c r="H9" s="61" t="s">
        <v>22</v>
      </c>
      <c r="I9" s="22">
        <v>2</v>
      </c>
      <c r="J9" s="22">
        <v>125000</v>
      </c>
      <c r="K9" s="22">
        <f t="shared" si="0"/>
        <v>250000</v>
      </c>
      <c r="L9" s="22"/>
      <c r="M9" s="23"/>
      <c r="N9" s="22"/>
      <c r="O9" s="60" t="s">
        <v>26</v>
      </c>
      <c r="P9" s="24"/>
    </row>
    <row r="10" spans="2:16" ht="27" customHeight="1" x14ac:dyDescent="0.25">
      <c r="B10" s="20" t="s">
        <v>17</v>
      </c>
      <c r="C10" s="21" t="s">
        <v>18</v>
      </c>
      <c r="D10" s="21" t="s">
        <v>18</v>
      </c>
      <c r="E10" s="21" t="s">
        <v>31</v>
      </c>
      <c r="F10" s="21" t="s">
        <v>32</v>
      </c>
      <c r="G10" s="60" t="s">
        <v>21</v>
      </c>
      <c r="H10" s="61" t="s">
        <v>22</v>
      </c>
      <c r="I10" s="22">
        <v>1</v>
      </c>
      <c r="J10" s="22">
        <v>125000</v>
      </c>
      <c r="K10" s="22">
        <f t="shared" si="0"/>
        <v>125000</v>
      </c>
      <c r="L10" s="22"/>
      <c r="M10" s="23"/>
      <c r="N10" s="22"/>
      <c r="O10" s="60" t="s">
        <v>26</v>
      </c>
      <c r="P10" s="24"/>
    </row>
    <row r="11" spans="2:16" ht="26.25" customHeight="1" x14ac:dyDescent="0.25">
      <c r="B11" s="20" t="s">
        <v>17</v>
      </c>
      <c r="C11" s="21" t="s">
        <v>18</v>
      </c>
      <c r="D11" s="21" t="s">
        <v>18</v>
      </c>
      <c r="E11" s="21" t="s">
        <v>33</v>
      </c>
      <c r="F11" s="21" t="s">
        <v>34</v>
      </c>
      <c r="G11" s="60" t="s">
        <v>21</v>
      </c>
      <c r="H11" s="61" t="s">
        <v>22</v>
      </c>
      <c r="I11" s="22">
        <v>2</v>
      </c>
      <c r="J11" s="22">
        <v>125000</v>
      </c>
      <c r="K11" s="22">
        <f t="shared" si="0"/>
        <v>250000</v>
      </c>
      <c r="L11" s="22"/>
      <c r="M11" s="23"/>
      <c r="N11" s="22"/>
      <c r="O11" s="60" t="s">
        <v>26</v>
      </c>
      <c r="P11" s="24"/>
    </row>
    <row r="12" spans="2:16" ht="26.25" customHeight="1" x14ac:dyDescent="0.25">
      <c r="B12" s="20" t="s">
        <v>17</v>
      </c>
      <c r="C12" s="21" t="s">
        <v>18</v>
      </c>
      <c r="D12" s="21" t="s">
        <v>18</v>
      </c>
      <c r="E12" s="21" t="s">
        <v>35</v>
      </c>
      <c r="F12" s="21" t="s">
        <v>36</v>
      </c>
      <c r="G12" s="60" t="s">
        <v>21</v>
      </c>
      <c r="H12" s="61" t="s">
        <v>22</v>
      </c>
      <c r="I12" s="22">
        <v>1</v>
      </c>
      <c r="J12" s="22">
        <f>117455.36</f>
        <v>117455.36</v>
      </c>
      <c r="K12" s="22">
        <f>I12*J12</f>
        <v>117455.36</v>
      </c>
      <c r="L12" s="22"/>
      <c r="M12" s="23"/>
      <c r="N12" s="22"/>
      <c r="O12" s="60" t="s">
        <v>26</v>
      </c>
      <c r="P12" s="24"/>
    </row>
    <row r="13" spans="2:16" ht="26.25" customHeight="1" x14ac:dyDescent="0.25">
      <c r="B13" s="20" t="s">
        <v>17</v>
      </c>
      <c r="C13" s="21" t="s">
        <v>18</v>
      </c>
      <c r="D13" s="21" t="s">
        <v>18</v>
      </c>
      <c r="E13" s="21" t="s">
        <v>37</v>
      </c>
      <c r="F13" s="21" t="s">
        <v>38</v>
      </c>
      <c r="G13" s="60" t="s">
        <v>21</v>
      </c>
      <c r="H13" s="61" t="s">
        <v>22</v>
      </c>
      <c r="I13" s="22">
        <v>1</v>
      </c>
      <c r="J13" s="22">
        <f>153794.642857143-26294.64</f>
        <v>127500.00285714299</v>
      </c>
      <c r="K13" s="22">
        <f>I13*J13</f>
        <v>127500.00285714299</v>
      </c>
      <c r="L13" s="22"/>
      <c r="M13" s="23"/>
      <c r="N13" s="22"/>
      <c r="O13" s="60" t="s">
        <v>26</v>
      </c>
      <c r="P13" s="24"/>
    </row>
    <row r="14" spans="2:16" ht="26.25" customHeight="1" x14ac:dyDescent="0.25">
      <c r="B14" s="20" t="s">
        <v>17</v>
      </c>
      <c r="C14" s="21" t="s">
        <v>18</v>
      </c>
      <c r="D14" s="21" t="s">
        <v>18</v>
      </c>
      <c r="E14" s="21" t="s">
        <v>39</v>
      </c>
      <c r="F14" s="21" t="s">
        <v>40</v>
      </c>
      <c r="G14" s="60" t="s">
        <v>21</v>
      </c>
      <c r="H14" s="61" t="s">
        <v>22</v>
      </c>
      <c r="I14" s="22">
        <v>1</v>
      </c>
      <c r="J14" s="22">
        <v>153794.64000000001</v>
      </c>
      <c r="K14" s="22">
        <f>I14*J14</f>
        <v>153794.64000000001</v>
      </c>
      <c r="L14" s="22"/>
      <c r="M14" s="23"/>
      <c r="N14" s="22"/>
      <c r="O14" s="60" t="s">
        <v>26</v>
      </c>
      <c r="P14" s="24"/>
    </row>
    <row r="15" spans="2:16" ht="26.25" customHeight="1" x14ac:dyDescent="0.25">
      <c r="B15" s="20" t="s">
        <v>17</v>
      </c>
      <c r="C15" s="21" t="s">
        <v>18</v>
      </c>
      <c r="D15" s="21" t="s">
        <v>18</v>
      </c>
      <c r="E15" s="21" t="s">
        <v>41</v>
      </c>
      <c r="F15" s="21" t="s">
        <v>42</v>
      </c>
      <c r="G15" s="60" t="s">
        <v>21</v>
      </c>
      <c r="H15" s="61" t="s">
        <v>22</v>
      </c>
      <c r="I15" s="22">
        <v>1</v>
      </c>
      <c r="J15" s="22">
        <v>153794.64000000001</v>
      </c>
      <c r="K15" s="22">
        <f>I15*J15</f>
        <v>153794.64000000001</v>
      </c>
      <c r="L15" s="22"/>
      <c r="M15" s="23"/>
      <c r="N15" s="22"/>
      <c r="O15" s="60" t="s">
        <v>26</v>
      </c>
      <c r="P15" s="24"/>
    </row>
    <row r="16" spans="2:16" ht="32.25" customHeight="1" x14ac:dyDescent="0.25">
      <c r="B16" s="20" t="s">
        <v>17</v>
      </c>
      <c r="C16" s="21" t="s">
        <v>18</v>
      </c>
      <c r="D16" s="21" t="s">
        <v>18</v>
      </c>
      <c r="E16" s="21" t="s">
        <v>43</v>
      </c>
      <c r="F16" s="21" t="s">
        <v>44</v>
      </c>
      <c r="G16" s="60" t="s">
        <v>21</v>
      </c>
      <c r="H16" s="61" t="s">
        <v>22</v>
      </c>
      <c r="I16" s="22">
        <v>5</v>
      </c>
      <c r="J16" s="22">
        <f>113400-24610</f>
        <v>88790</v>
      </c>
      <c r="K16" s="22">
        <f t="shared" ref="K16:K45" si="1">I16*J16</f>
        <v>443950</v>
      </c>
      <c r="L16" s="22"/>
      <c r="M16" s="23"/>
      <c r="N16" s="22"/>
      <c r="O16" s="60" t="s">
        <v>26</v>
      </c>
      <c r="P16" s="24"/>
    </row>
    <row r="17" spans="2:16" ht="26.25" customHeight="1" x14ac:dyDescent="0.25">
      <c r="B17" s="20" t="s">
        <v>17</v>
      </c>
      <c r="C17" s="21" t="s">
        <v>18</v>
      </c>
      <c r="D17" s="21" t="s">
        <v>18</v>
      </c>
      <c r="E17" s="21" t="s">
        <v>45</v>
      </c>
      <c r="F17" s="21" t="s">
        <v>46</v>
      </c>
      <c r="G17" s="60" t="s">
        <v>21</v>
      </c>
      <c r="H17" s="61" t="s">
        <v>22</v>
      </c>
      <c r="I17" s="22">
        <v>3</v>
      </c>
      <c r="J17" s="22">
        <v>53900</v>
      </c>
      <c r="K17" s="22">
        <f t="shared" si="1"/>
        <v>161700</v>
      </c>
      <c r="L17" s="22"/>
      <c r="M17" s="23"/>
      <c r="N17" s="22"/>
      <c r="O17" s="60" t="s">
        <v>26</v>
      </c>
      <c r="P17" s="24"/>
    </row>
    <row r="18" spans="2:16" ht="25.5" customHeight="1" x14ac:dyDescent="0.25">
      <c r="B18" s="20" t="s">
        <v>17</v>
      </c>
      <c r="C18" s="21" t="s">
        <v>47</v>
      </c>
      <c r="D18" s="21" t="s">
        <v>47</v>
      </c>
      <c r="E18" s="21" t="s">
        <v>48</v>
      </c>
      <c r="F18" s="21" t="s">
        <v>49</v>
      </c>
      <c r="G18" s="60" t="s">
        <v>21</v>
      </c>
      <c r="H18" s="61" t="s">
        <v>22</v>
      </c>
      <c r="I18" s="22">
        <v>1</v>
      </c>
      <c r="J18" s="22">
        <f>175500-53180</f>
        <v>122320</v>
      </c>
      <c r="K18" s="22">
        <f>I18*J18</f>
        <v>122320</v>
      </c>
      <c r="L18" s="22"/>
      <c r="M18" s="23"/>
      <c r="N18" s="22"/>
      <c r="O18" s="60" t="s">
        <v>26</v>
      </c>
      <c r="P18" s="24"/>
    </row>
    <row r="19" spans="2:16" ht="26.25" customHeight="1" x14ac:dyDescent="0.25">
      <c r="B19" s="20" t="s">
        <v>17</v>
      </c>
      <c r="C19" s="21" t="s">
        <v>18</v>
      </c>
      <c r="D19" s="21" t="s">
        <v>18</v>
      </c>
      <c r="E19" s="21" t="s">
        <v>50</v>
      </c>
      <c r="F19" s="21" t="s">
        <v>51</v>
      </c>
      <c r="G19" s="60" t="s">
        <v>21</v>
      </c>
      <c r="H19" s="61" t="s">
        <v>22</v>
      </c>
      <c r="I19" s="22">
        <v>15</v>
      </c>
      <c r="J19" s="22">
        <f>66500-13500</f>
        <v>53000</v>
      </c>
      <c r="K19" s="22">
        <f>I19*J19</f>
        <v>795000</v>
      </c>
      <c r="L19" s="22"/>
      <c r="M19" s="23"/>
      <c r="N19" s="22"/>
      <c r="O19" s="60" t="s">
        <v>52</v>
      </c>
      <c r="P19" s="24"/>
    </row>
    <row r="20" spans="2:16" ht="26.25" x14ac:dyDescent="0.25">
      <c r="B20" s="20" t="s">
        <v>17</v>
      </c>
      <c r="C20" s="21" t="s">
        <v>53</v>
      </c>
      <c r="D20" s="21" t="s">
        <v>53</v>
      </c>
      <c r="E20" s="21" t="s">
        <v>54</v>
      </c>
      <c r="F20" s="21" t="s">
        <v>55</v>
      </c>
      <c r="G20" s="60" t="s">
        <v>21</v>
      </c>
      <c r="H20" s="61" t="s">
        <v>22</v>
      </c>
      <c r="I20" s="22">
        <v>6</v>
      </c>
      <c r="J20" s="22">
        <f>85250-9750</f>
        <v>75500</v>
      </c>
      <c r="K20" s="22">
        <f>I20*J20</f>
        <v>453000</v>
      </c>
      <c r="L20" s="22"/>
      <c r="M20" s="23"/>
      <c r="N20" s="22"/>
      <c r="O20" s="60" t="s">
        <v>52</v>
      </c>
      <c r="P20" s="24"/>
    </row>
    <row r="21" spans="2:16" ht="22.5" customHeight="1" x14ac:dyDescent="0.25">
      <c r="B21" s="20" t="s">
        <v>17</v>
      </c>
      <c r="C21" s="21" t="s">
        <v>56</v>
      </c>
      <c r="D21" s="21" t="s">
        <v>57</v>
      </c>
      <c r="E21" s="21" t="s">
        <v>58</v>
      </c>
      <c r="F21" s="27" t="s">
        <v>59</v>
      </c>
      <c r="G21" s="60" t="s">
        <v>21</v>
      </c>
      <c r="H21" s="61" t="s">
        <v>60</v>
      </c>
      <c r="I21" s="22">
        <v>12</v>
      </c>
      <c r="J21" s="22">
        <v>93750</v>
      </c>
      <c r="K21" s="22">
        <f t="shared" si="1"/>
        <v>1125000</v>
      </c>
      <c r="L21" s="22"/>
      <c r="M21" s="23"/>
      <c r="N21" s="22"/>
      <c r="O21" s="60" t="s">
        <v>23</v>
      </c>
      <c r="P21" s="24"/>
    </row>
    <row r="22" spans="2:16" ht="23.25" customHeight="1" x14ac:dyDescent="0.25">
      <c r="B22" s="20" t="s">
        <v>17</v>
      </c>
      <c r="C22" s="21" t="s">
        <v>56</v>
      </c>
      <c r="D22" s="21" t="s">
        <v>57</v>
      </c>
      <c r="E22" s="21" t="s">
        <v>61</v>
      </c>
      <c r="F22" s="27" t="s">
        <v>62</v>
      </c>
      <c r="G22" s="60" t="s">
        <v>21</v>
      </c>
      <c r="H22" s="61" t="s">
        <v>22</v>
      </c>
      <c r="I22" s="22">
        <v>50</v>
      </c>
      <c r="J22" s="22">
        <v>3525</v>
      </c>
      <c r="K22" s="22">
        <f>I22*J22</f>
        <v>176250</v>
      </c>
      <c r="L22" s="22"/>
      <c r="M22" s="23"/>
      <c r="N22" s="22"/>
      <c r="O22" s="60" t="s">
        <v>23</v>
      </c>
      <c r="P22" s="24"/>
    </row>
    <row r="23" spans="2:16" ht="22.5" customHeight="1" x14ac:dyDescent="0.25">
      <c r="B23" s="20" t="s">
        <v>17</v>
      </c>
      <c r="C23" s="21" t="s">
        <v>56</v>
      </c>
      <c r="D23" s="21" t="s">
        <v>57</v>
      </c>
      <c r="E23" s="21" t="s">
        <v>63</v>
      </c>
      <c r="F23" s="27" t="s">
        <v>64</v>
      </c>
      <c r="G23" s="60" t="s">
        <v>21</v>
      </c>
      <c r="H23" s="61" t="s">
        <v>22</v>
      </c>
      <c r="I23" s="22">
        <v>150</v>
      </c>
      <c r="J23" s="22">
        <v>2180.36</v>
      </c>
      <c r="K23" s="22">
        <f>I23*J23</f>
        <v>327054</v>
      </c>
      <c r="L23" s="22"/>
      <c r="M23" s="23"/>
      <c r="N23" s="22"/>
      <c r="O23" s="60" t="s">
        <v>23</v>
      </c>
      <c r="P23" s="24"/>
    </row>
    <row r="24" spans="2:16" ht="24.75" customHeight="1" x14ac:dyDescent="0.25">
      <c r="B24" s="20" t="s">
        <v>17</v>
      </c>
      <c r="C24" s="21" t="s">
        <v>56</v>
      </c>
      <c r="D24" s="21" t="s">
        <v>57</v>
      </c>
      <c r="E24" s="21" t="s">
        <v>65</v>
      </c>
      <c r="F24" s="27" t="s">
        <v>66</v>
      </c>
      <c r="G24" s="60" t="s">
        <v>21</v>
      </c>
      <c r="H24" s="61" t="s">
        <v>22</v>
      </c>
      <c r="I24" s="22">
        <v>150</v>
      </c>
      <c r="J24" s="22">
        <v>1155.3599999999999</v>
      </c>
      <c r="K24" s="22">
        <f>I24*J24</f>
        <v>173303.99999999997</v>
      </c>
      <c r="L24" s="22"/>
      <c r="M24" s="23"/>
      <c r="N24" s="22"/>
      <c r="O24" s="60" t="s">
        <v>23</v>
      </c>
      <c r="P24" s="24"/>
    </row>
    <row r="25" spans="2:16" ht="24.75" customHeight="1" x14ac:dyDescent="0.25">
      <c r="B25" s="20" t="s">
        <v>17</v>
      </c>
      <c r="C25" s="21" t="s">
        <v>56</v>
      </c>
      <c r="D25" s="21" t="s">
        <v>57</v>
      </c>
      <c r="E25" s="21" t="s">
        <v>67</v>
      </c>
      <c r="F25" s="27" t="s">
        <v>68</v>
      </c>
      <c r="G25" s="60" t="s">
        <v>21</v>
      </c>
      <c r="H25" s="61" t="s">
        <v>22</v>
      </c>
      <c r="I25" s="22">
        <v>50</v>
      </c>
      <c r="J25" s="22">
        <v>5074.1099999999997</v>
      </c>
      <c r="K25" s="22">
        <f>I25*J25</f>
        <v>253705.49999999997</v>
      </c>
      <c r="L25" s="22"/>
      <c r="M25" s="23"/>
      <c r="N25" s="22"/>
      <c r="O25" s="60" t="s">
        <v>23</v>
      </c>
      <c r="P25" s="24"/>
    </row>
    <row r="26" spans="2:16" ht="24" customHeight="1" x14ac:dyDescent="0.25">
      <c r="B26" s="20" t="s">
        <v>17</v>
      </c>
      <c r="C26" s="21" t="s">
        <v>69</v>
      </c>
      <c r="D26" s="21" t="s">
        <v>69</v>
      </c>
      <c r="E26" s="21" t="s">
        <v>70</v>
      </c>
      <c r="F26" s="21" t="s">
        <v>71</v>
      </c>
      <c r="G26" s="60" t="s">
        <v>72</v>
      </c>
      <c r="H26" s="61" t="s">
        <v>22</v>
      </c>
      <c r="I26" s="22">
        <v>200</v>
      </c>
      <c r="J26" s="22">
        <v>47.54</v>
      </c>
      <c r="K26" s="22">
        <f t="shared" si="1"/>
        <v>9508</v>
      </c>
      <c r="L26" s="22"/>
      <c r="M26" s="22"/>
      <c r="N26" s="22"/>
      <c r="O26" s="60" t="s">
        <v>23</v>
      </c>
      <c r="P26" s="24"/>
    </row>
    <row r="27" spans="2:16" ht="24" customHeight="1" x14ac:dyDescent="0.25">
      <c r="B27" s="20" t="s">
        <v>17</v>
      </c>
      <c r="C27" s="21" t="s">
        <v>56</v>
      </c>
      <c r="D27" s="21" t="s">
        <v>57</v>
      </c>
      <c r="E27" s="29" t="s">
        <v>73</v>
      </c>
      <c r="F27" s="30" t="s">
        <v>74</v>
      </c>
      <c r="G27" s="60" t="s">
        <v>72</v>
      </c>
      <c r="H27" s="60" t="s">
        <v>75</v>
      </c>
      <c r="I27" s="24">
        <v>60</v>
      </c>
      <c r="J27" s="22">
        <v>319.64</v>
      </c>
      <c r="K27" s="22">
        <f t="shared" si="1"/>
        <v>19178.399999999998</v>
      </c>
      <c r="L27" s="22"/>
      <c r="M27" s="22"/>
      <c r="N27" s="22"/>
      <c r="O27" s="60" t="s">
        <v>23</v>
      </c>
      <c r="P27" s="24"/>
    </row>
    <row r="28" spans="2:16" ht="24" customHeight="1" x14ac:dyDescent="0.25">
      <c r="B28" s="20" t="s">
        <v>17</v>
      </c>
      <c r="C28" s="21" t="s">
        <v>56</v>
      </c>
      <c r="D28" s="21" t="s">
        <v>57</v>
      </c>
      <c r="E28" s="29" t="s">
        <v>76</v>
      </c>
      <c r="F28" s="30" t="s">
        <v>77</v>
      </c>
      <c r="G28" s="60" t="s">
        <v>72</v>
      </c>
      <c r="H28" s="60" t="s">
        <v>75</v>
      </c>
      <c r="I28" s="24">
        <v>60</v>
      </c>
      <c r="J28" s="22">
        <v>3482.16</v>
      </c>
      <c r="K28" s="22">
        <f t="shared" si="1"/>
        <v>208929.59999999998</v>
      </c>
      <c r="L28" s="22"/>
      <c r="M28" s="22"/>
      <c r="N28" s="22"/>
      <c r="O28" s="60" t="s">
        <v>78</v>
      </c>
      <c r="P28" s="24"/>
    </row>
    <row r="29" spans="2:16" ht="22.5" customHeight="1" x14ac:dyDescent="0.25">
      <c r="B29" s="20" t="s">
        <v>17</v>
      </c>
      <c r="C29" s="21" t="s">
        <v>79</v>
      </c>
      <c r="D29" s="21" t="s">
        <v>80</v>
      </c>
      <c r="E29" s="27" t="s">
        <v>81</v>
      </c>
      <c r="F29" s="21" t="s">
        <v>82</v>
      </c>
      <c r="G29" s="60" t="s">
        <v>72</v>
      </c>
      <c r="H29" s="61" t="s">
        <v>83</v>
      </c>
      <c r="I29" s="22">
        <v>20</v>
      </c>
      <c r="J29" s="22">
        <v>356.58</v>
      </c>
      <c r="K29" s="22">
        <f>I29*J29</f>
        <v>7131.5999999999995</v>
      </c>
      <c r="L29" s="22"/>
      <c r="M29" s="22"/>
      <c r="N29" s="22"/>
      <c r="O29" s="60" t="s">
        <v>23</v>
      </c>
      <c r="P29" s="24"/>
    </row>
    <row r="30" spans="2:16" ht="20.25" customHeight="1" x14ac:dyDescent="0.25">
      <c r="B30" s="20" t="s">
        <v>17</v>
      </c>
      <c r="C30" s="21" t="s">
        <v>79</v>
      </c>
      <c r="D30" s="21" t="s">
        <v>80</v>
      </c>
      <c r="E30" s="21" t="s">
        <v>84</v>
      </c>
      <c r="F30" s="21" t="s">
        <v>85</v>
      </c>
      <c r="G30" s="60" t="s">
        <v>72</v>
      </c>
      <c r="H30" s="61" t="s">
        <v>83</v>
      </c>
      <c r="I30" s="22">
        <v>20</v>
      </c>
      <c r="J30" s="22">
        <v>1131.56</v>
      </c>
      <c r="K30" s="22">
        <f t="shared" si="1"/>
        <v>22631.199999999997</v>
      </c>
      <c r="L30" s="22"/>
      <c r="M30" s="22"/>
      <c r="N30" s="22"/>
      <c r="O30" s="60" t="s">
        <v>23</v>
      </c>
      <c r="P30" s="24"/>
    </row>
    <row r="31" spans="2:16" ht="24" customHeight="1" x14ac:dyDescent="0.25">
      <c r="B31" s="20" t="s">
        <v>17</v>
      </c>
      <c r="C31" s="21" t="s">
        <v>79</v>
      </c>
      <c r="D31" s="21" t="s">
        <v>80</v>
      </c>
      <c r="E31" s="21" t="s">
        <v>86</v>
      </c>
      <c r="F31" s="21" t="s">
        <v>87</v>
      </c>
      <c r="G31" s="60" t="s">
        <v>72</v>
      </c>
      <c r="H31" s="61" t="s">
        <v>83</v>
      </c>
      <c r="I31" s="22">
        <v>20</v>
      </c>
      <c r="J31" s="22">
        <v>1131.56</v>
      </c>
      <c r="K31" s="22">
        <f t="shared" si="1"/>
        <v>22631.199999999997</v>
      </c>
      <c r="L31" s="22"/>
      <c r="M31" s="22"/>
      <c r="N31" s="22"/>
      <c r="O31" s="60" t="s">
        <v>23</v>
      </c>
      <c r="P31" s="24"/>
    </row>
    <row r="32" spans="2:16" ht="21.75" customHeight="1" x14ac:dyDescent="0.25">
      <c r="B32" s="20" t="s">
        <v>17</v>
      </c>
      <c r="C32" s="21" t="s">
        <v>88</v>
      </c>
      <c r="D32" s="21" t="s">
        <v>89</v>
      </c>
      <c r="E32" s="21" t="s">
        <v>90</v>
      </c>
      <c r="F32" s="21" t="s">
        <v>91</v>
      </c>
      <c r="G32" s="60" t="s">
        <v>72</v>
      </c>
      <c r="H32" s="61" t="s">
        <v>22</v>
      </c>
      <c r="I32" s="22">
        <v>20</v>
      </c>
      <c r="J32" s="22">
        <v>3794.06</v>
      </c>
      <c r="K32" s="22">
        <f t="shared" si="1"/>
        <v>75881.2</v>
      </c>
      <c r="L32" s="22"/>
      <c r="M32" s="22"/>
      <c r="N32" s="22"/>
      <c r="O32" s="60" t="s">
        <v>23</v>
      </c>
      <c r="P32" s="24"/>
    </row>
    <row r="33" spans="2:16" ht="25.5" customHeight="1" x14ac:dyDescent="0.25">
      <c r="B33" s="20" t="s">
        <v>17</v>
      </c>
      <c r="C33" s="21" t="s">
        <v>92</v>
      </c>
      <c r="D33" s="21" t="s">
        <v>92</v>
      </c>
      <c r="E33" s="21" t="s">
        <v>93</v>
      </c>
      <c r="F33" s="21" t="s">
        <v>94</v>
      </c>
      <c r="G33" s="60" t="s">
        <v>72</v>
      </c>
      <c r="H33" s="61" t="s">
        <v>22</v>
      </c>
      <c r="I33" s="22">
        <v>10</v>
      </c>
      <c r="J33" s="22">
        <v>2938.26</v>
      </c>
      <c r="K33" s="22">
        <f t="shared" si="1"/>
        <v>29382.600000000002</v>
      </c>
      <c r="L33" s="22"/>
      <c r="M33" s="22"/>
      <c r="N33" s="22"/>
      <c r="O33" s="60" t="s">
        <v>23</v>
      </c>
      <c r="P33" s="24"/>
    </row>
    <row r="34" spans="2:16" ht="28.5" customHeight="1" x14ac:dyDescent="0.25">
      <c r="B34" s="20" t="s">
        <v>17</v>
      </c>
      <c r="C34" s="21" t="s">
        <v>92</v>
      </c>
      <c r="D34" s="21" t="s">
        <v>92</v>
      </c>
      <c r="E34" s="21" t="s">
        <v>95</v>
      </c>
      <c r="F34" s="21" t="s">
        <v>96</v>
      </c>
      <c r="G34" s="60" t="s">
        <v>72</v>
      </c>
      <c r="H34" s="61" t="s">
        <v>83</v>
      </c>
      <c r="I34" s="22">
        <v>100</v>
      </c>
      <c r="J34" s="22">
        <v>638.39</v>
      </c>
      <c r="K34" s="22">
        <f t="shared" si="1"/>
        <v>63839</v>
      </c>
      <c r="L34" s="22"/>
      <c r="M34" s="22"/>
      <c r="N34" s="22"/>
      <c r="O34" s="60" t="s">
        <v>23</v>
      </c>
      <c r="P34" s="24"/>
    </row>
    <row r="35" spans="2:16" ht="29.25" customHeight="1" x14ac:dyDescent="0.25">
      <c r="B35" s="20" t="s">
        <v>17</v>
      </c>
      <c r="C35" s="21" t="s">
        <v>92</v>
      </c>
      <c r="D35" s="21" t="s">
        <v>92</v>
      </c>
      <c r="E35" s="21" t="s">
        <v>97</v>
      </c>
      <c r="F35" s="21" t="s">
        <v>98</v>
      </c>
      <c r="G35" s="60" t="s">
        <v>72</v>
      </c>
      <c r="H35" s="61" t="s">
        <v>83</v>
      </c>
      <c r="I35" s="22">
        <v>100</v>
      </c>
      <c r="J35" s="22">
        <v>638.39</v>
      </c>
      <c r="K35" s="22">
        <f t="shared" si="1"/>
        <v>63839</v>
      </c>
      <c r="L35" s="22"/>
      <c r="M35" s="22"/>
      <c r="N35" s="22"/>
      <c r="O35" s="60" t="s">
        <v>23</v>
      </c>
      <c r="P35" s="24"/>
    </row>
    <row r="36" spans="2:16" ht="27" customHeight="1" x14ac:dyDescent="0.25">
      <c r="B36" s="20" t="s">
        <v>17</v>
      </c>
      <c r="C36" s="21" t="s">
        <v>99</v>
      </c>
      <c r="D36" s="21" t="s">
        <v>100</v>
      </c>
      <c r="E36" s="21" t="s">
        <v>101</v>
      </c>
      <c r="F36" s="21" t="s">
        <v>101</v>
      </c>
      <c r="G36" s="60" t="s">
        <v>72</v>
      </c>
      <c r="H36" s="61" t="s">
        <v>22</v>
      </c>
      <c r="I36" s="22">
        <v>70</v>
      </c>
      <c r="J36" s="22">
        <v>228.21</v>
      </c>
      <c r="K36" s="22">
        <f t="shared" si="1"/>
        <v>15974.7</v>
      </c>
      <c r="L36" s="22"/>
      <c r="M36" s="22"/>
      <c r="N36" s="22"/>
      <c r="O36" s="60" t="s">
        <v>23</v>
      </c>
      <c r="P36" s="24"/>
    </row>
    <row r="37" spans="2:16" ht="27" customHeight="1" x14ac:dyDescent="0.25">
      <c r="B37" s="20" t="s">
        <v>17</v>
      </c>
      <c r="C37" s="21" t="s">
        <v>102</v>
      </c>
      <c r="D37" s="21" t="s">
        <v>102</v>
      </c>
      <c r="E37" s="21" t="s">
        <v>103</v>
      </c>
      <c r="F37" s="21" t="s">
        <v>104</v>
      </c>
      <c r="G37" s="60" t="s">
        <v>72</v>
      </c>
      <c r="H37" s="61" t="s">
        <v>22</v>
      </c>
      <c r="I37" s="22">
        <v>15</v>
      </c>
      <c r="J37" s="22">
        <v>2333.4899999999998</v>
      </c>
      <c r="K37" s="22">
        <f t="shared" si="1"/>
        <v>35002.35</v>
      </c>
      <c r="L37" s="22"/>
      <c r="M37" s="22"/>
      <c r="N37" s="22"/>
      <c r="O37" s="60" t="s">
        <v>23</v>
      </c>
      <c r="P37" s="24"/>
    </row>
    <row r="38" spans="2:16" ht="26.25" x14ac:dyDescent="0.25">
      <c r="B38" s="20" t="s">
        <v>17</v>
      </c>
      <c r="C38" s="21" t="s">
        <v>105</v>
      </c>
      <c r="D38" s="21" t="s">
        <v>106</v>
      </c>
      <c r="E38" s="21" t="s">
        <v>107</v>
      </c>
      <c r="F38" s="21" t="s">
        <v>108</v>
      </c>
      <c r="G38" s="60" t="s">
        <v>21</v>
      </c>
      <c r="H38" s="61" t="s">
        <v>83</v>
      </c>
      <c r="I38" s="22">
        <v>16</v>
      </c>
      <c r="J38" s="22">
        <v>729.04</v>
      </c>
      <c r="K38" s="22">
        <f t="shared" si="1"/>
        <v>11664.64</v>
      </c>
      <c r="L38" s="22"/>
      <c r="M38" s="22"/>
      <c r="N38" s="22"/>
      <c r="O38" s="60" t="s">
        <v>78</v>
      </c>
      <c r="P38" s="24"/>
    </row>
    <row r="39" spans="2:16" ht="29.25" customHeight="1" x14ac:dyDescent="0.25">
      <c r="B39" s="20" t="s">
        <v>17</v>
      </c>
      <c r="C39" s="21" t="s">
        <v>105</v>
      </c>
      <c r="D39" s="21" t="s">
        <v>106</v>
      </c>
      <c r="E39" s="21" t="s">
        <v>109</v>
      </c>
      <c r="F39" s="21" t="s">
        <v>110</v>
      </c>
      <c r="G39" s="60" t="s">
        <v>21</v>
      </c>
      <c r="H39" s="61" t="s">
        <v>83</v>
      </c>
      <c r="I39" s="22">
        <v>50</v>
      </c>
      <c r="J39" s="22">
        <v>3669.5</v>
      </c>
      <c r="K39" s="22">
        <f t="shared" si="1"/>
        <v>183475</v>
      </c>
      <c r="L39" s="22"/>
      <c r="M39" s="22"/>
      <c r="N39" s="22"/>
      <c r="O39" s="60" t="s">
        <v>78</v>
      </c>
      <c r="P39" s="24"/>
    </row>
    <row r="40" spans="2:16" ht="28.5" customHeight="1" x14ac:dyDescent="0.25">
      <c r="B40" s="20" t="s">
        <v>17</v>
      </c>
      <c r="C40" s="21" t="s">
        <v>105</v>
      </c>
      <c r="D40" s="21" t="s">
        <v>106</v>
      </c>
      <c r="E40" s="21" t="s">
        <v>111</v>
      </c>
      <c r="F40" s="21" t="s">
        <v>112</v>
      </c>
      <c r="G40" s="60" t="s">
        <v>21</v>
      </c>
      <c r="H40" s="61" t="s">
        <v>83</v>
      </c>
      <c r="I40" s="22">
        <v>45</v>
      </c>
      <c r="J40" s="22">
        <v>1740.13</v>
      </c>
      <c r="K40" s="22">
        <f t="shared" si="1"/>
        <v>78305.850000000006</v>
      </c>
      <c r="L40" s="22"/>
      <c r="M40" s="22"/>
      <c r="N40" s="22"/>
      <c r="O40" s="60" t="s">
        <v>78</v>
      </c>
      <c r="P40" s="24"/>
    </row>
    <row r="41" spans="2:16" ht="24.75" customHeight="1" x14ac:dyDescent="0.25">
      <c r="B41" s="20" t="s">
        <v>17</v>
      </c>
      <c r="C41" s="21" t="s">
        <v>113</v>
      </c>
      <c r="D41" s="21" t="s">
        <v>114</v>
      </c>
      <c r="E41" s="21" t="s">
        <v>115</v>
      </c>
      <c r="F41" s="21" t="s">
        <v>116</v>
      </c>
      <c r="G41" s="60" t="s">
        <v>21</v>
      </c>
      <c r="H41" s="61" t="s">
        <v>22</v>
      </c>
      <c r="I41" s="22">
        <v>20</v>
      </c>
      <c r="J41" s="22">
        <v>2282.14</v>
      </c>
      <c r="K41" s="22">
        <f t="shared" si="1"/>
        <v>45642.799999999996</v>
      </c>
      <c r="L41" s="22"/>
      <c r="M41" s="22"/>
      <c r="N41" s="22"/>
      <c r="O41" s="60" t="s">
        <v>78</v>
      </c>
      <c r="P41" s="24"/>
    </row>
    <row r="42" spans="2:16" ht="32.25" customHeight="1" x14ac:dyDescent="0.25">
      <c r="B42" s="20" t="s">
        <v>17</v>
      </c>
      <c r="C42" s="21" t="s">
        <v>117</v>
      </c>
      <c r="D42" s="21" t="s">
        <v>118</v>
      </c>
      <c r="E42" s="21" t="s">
        <v>119</v>
      </c>
      <c r="F42" s="21" t="s">
        <v>120</v>
      </c>
      <c r="G42" s="60" t="s">
        <v>21</v>
      </c>
      <c r="H42" s="61" t="s">
        <v>22</v>
      </c>
      <c r="I42" s="22">
        <v>10</v>
      </c>
      <c r="J42" s="22">
        <v>3299.6</v>
      </c>
      <c r="K42" s="22">
        <f t="shared" si="1"/>
        <v>32996</v>
      </c>
      <c r="L42" s="22"/>
      <c r="M42" s="22"/>
      <c r="N42" s="22"/>
      <c r="O42" s="60" t="s">
        <v>78</v>
      </c>
      <c r="P42" s="24"/>
    </row>
    <row r="43" spans="2:16" ht="27.75" customHeight="1" x14ac:dyDescent="0.25">
      <c r="B43" s="20" t="s">
        <v>17</v>
      </c>
      <c r="C43" s="21" t="s">
        <v>117</v>
      </c>
      <c r="D43" s="21" t="s">
        <v>118</v>
      </c>
      <c r="E43" s="21" t="s">
        <v>121</v>
      </c>
      <c r="F43" s="21" t="s">
        <v>122</v>
      </c>
      <c r="G43" s="60" t="s">
        <v>21</v>
      </c>
      <c r="H43" s="61" t="s">
        <v>22</v>
      </c>
      <c r="I43" s="22">
        <v>10</v>
      </c>
      <c r="J43" s="22">
        <v>1202.8800000000001</v>
      </c>
      <c r="K43" s="22">
        <f t="shared" si="1"/>
        <v>12028.800000000001</v>
      </c>
      <c r="L43" s="22"/>
      <c r="M43" s="22"/>
      <c r="N43" s="22"/>
      <c r="O43" s="60" t="s">
        <v>78</v>
      </c>
      <c r="P43" s="24"/>
    </row>
    <row r="44" spans="2:16" ht="30.75" customHeight="1" x14ac:dyDescent="0.25">
      <c r="B44" s="20" t="s">
        <v>17</v>
      </c>
      <c r="C44" s="21" t="s">
        <v>123</v>
      </c>
      <c r="D44" s="21" t="s">
        <v>124</v>
      </c>
      <c r="E44" s="21" t="s">
        <v>125</v>
      </c>
      <c r="F44" s="21" t="s">
        <v>126</v>
      </c>
      <c r="G44" s="60" t="s">
        <v>21</v>
      </c>
      <c r="H44" s="61" t="s">
        <v>22</v>
      </c>
      <c r="I44" s="22">
        <v>15</v>
      </c>
      <c r="J44" s="22">
        <v>213.95</v>
      </c>
      <c r="K44" s="22">
        <f t="shared" si="1"/>
        <v>3209.25</v>
      </c>
      <c r="L44" s="22"/>
      <c r="M44" s="22"/>
      <c r="N44" s="22"/>
      <c r="O44" s="60" t="s">
        <v>78</v>
      </c>
      <c r="P44" s="24"/>
    </row>
    <row r="45" spans="2:16" ht="33" customHeight="1" x14ac:dyDescent="0.25">
      <c r="B45" s="20" t="s">
        <v>17</v>
      </c>
      <c r="C45" s="21" t="s">
        <v>127</v>
      </c>
      <c r="D45" s="21" t="s">
        <v>127</v>
      </c>
      <c r="E45" s="21" t="s">
        <v>127</v>
      </c>
      <c r="F45" s="21" t="s">
        <v>127</v>
      </c>
      <c r="G45" s="60" t="s">
        <v>21</v>
      </c>
      <c r="H45" s="61" t="s">
        <v>22</v>
      </c>
      <c r="I45" s="22">
        <v>20</v>
      </c>
      <c r="J45" s="22">
        <v>808.26</v>
      </c>
      <c r="K45" s="22">
        <f t="shared" si="1"/>
        <v>16165.2</v>
      </c>
      <c r="L45" s="22"/>
      <c r="M45" s="22"/>
      <c r="N45" s="22"/>
      <c r="O45" s="60" t="s">
        <v>78</v>
      </c>
      <c r="P45" s="24"/>
    </row>
    <row r="46" spans="2:16" ht="26.25" customHeight="1" x14ac:dyDescent="0.25">
      <c r="B46" s="20" t="s">
        <v>17</v>
      </c>
      <c r="C46" s="21" t="s">
        <v>128</v>
      </c>
      <c r="D46" s="21" t="s">
        <v>129</v>
      </c>
      <c r="E46" s="21" t="s">
        <v>130</v>
      </c>
      <c r="F46" s="21" t="s">
        <v>131</v>
      </c>
      <c r="G46" s="60" t="s">
        <v>72</v>
      </c>
      <c r="H46" s="61" t="s">
        <v>132</v>
      </c>
      <c r="I46" s="22">
        <v>3</v>
      </c>
      <c r="J46" s="22">
        <f>2785.7+1414.3</f>
        <v>4200</v>
      </c>
      <c r="K46" s="22">
        <f>I46*J46</f>
        <v>12600</v>
      </c>
      <c r="L46" s="22"/>
      <c r="M46" s="23"/>
      <c r="N46" s="22"/>
      <c r="O46" s="60" t="s">
        <v>52</v>
      </c>
      <c r="P46" s="24"/>
    </row>
    <row r="47" spans="2:16" ht="30" customHeight="1" x14ac:dyDescent="0.25">
      <c r="B47" s="20" t="s">
        <v>17</v>
      </c>
      <c r="C47" s="21" t="s">
        <v>128</v>
      </c>
      <c r="D47" s="21" t="s">
        <v>129</v>
      </c>
      <c r="E47" s="21" t="s">
        <v>133</v>
      </c>
      <c r="F47" s="21" t="s">
        <v>134</v>
      </c>
      <c r="G47" s="60" t="s">
        <v>72</v>
      </c>
      <c r="H47" s="61" t="s">
        <v>132</v>
      </c>
      <c r="I47" s="22">
        <f>535+165</f>
        <v>700</v>
      </c>
      <c r="J47" s="22">
        <f>1388.39+411.61+164.28-133.92</f>
        <v>1830.36</v>
      </c>
      <c r="K47" s="22">
        <f>I47*J47</f>
        <v>1281252</v>
      </c>
      <c r="L47" s="22"/>
      <c r="M47" s="23"/>
      <c r="N47" s="22"/>
      <c r="O47" s="60" t="s">
        <v>52</v>
      </c>
      <c r="P47" s="24"/>
    </row>
    <row r="48" spans="2:16" ht="22.5" customHeight="1" x14ac:dyDescent="0.25">
      <c r="B48" s="20" t="s">
        <v>17</v>
      </c>
      <c r="C48" s="21" t="s">
        <v>135</v>
      </c>
      <c r="D48" s="21" t="s">
        <v>136</v>
      </c>
      <c r="E48" s="21" t="s">
        <v>137</v>
      </c>
      <c r="F48" s="21" t="s">
        <v>138</v>
      </c>
      <c r="G48" s="60" t="s">
        <v>21</v>
      </c>
      <c r="H48" s="61" t="s">
        <v>132</v>
      </c>
      <c r="I48" s="22">
        <v>1</v>
      </c>
      <c r="J48" s="22">
        <v>2285.6999999999998</v>
      </c>
      <c r="K48" s="22">
        <f t="shared" ref="K48:K103" si="2">I48*J48</f>
        <v>2285.6999999999998</v>
      </c>
      <c r="L48" s="22"/>
      <c r="M48" s="23"/>
      <c r="N48" s="22"/>
      <c r="O48" s="60" t="s">
        <v>52</v>
      </c>
      <c r="P48" s="24"/>
    </row>
    <row r="49" spans="2:16" ht="24" customHeight="1" x14ac:dyDescent="0.25">
      <c r="B49" s="20" t="s">
        <v>17</v>
      </c>
      <c r="C49" s="21" t="s">
        <v>135</v>
      </c>
      <c r="D49" s="21" t="s">
        <v>136</v>
      </c>
      <c r="E49" s="21" t="s">
        <v>139</v>
      </c>
      <c r="F49" s="21" t="s">
        <v>140</v>
      </c>
      <c r="G49" s="60" t="s">
        <v>21</v>
      </c>
      <c r="H49" s="61" t="s">
        <v>132</v>
      </c>
      <c r="I49" s="22">
        <v>1</v>
      </c>
      <c r="J49" s="22">
        <v>4018.79</v>
      </c>
      <c r="K49" s="22">
        <f t="shared" si="2"/>
        <v>4018.79</v>
      </c>
      <c r="L49" s="22"/>
      <c r="M49" s="23"/>
      <c r="N49" s="22"/>
      <c r="O49" s="60" t="s">
        <v>52</v>
      </c>
      <c r="P49" s="24"/>
    </row>
    <row r="50" spans="2:16" ht="22.5" customHeight="1" x14ac:dyDescent="0.25">
      <c r="B50" s="20" t="s">
        <v>17</v>
      </c>
      <c r="C50" s="21" t="s">
        <v>128</v>
      </c>
      <c r="D50" s="21" t="s">
        <v>129</v>
      </c>
      <c r="E50" s="31" t="s">
        <v>141</v>
      </c>
      <c r="F50" s="21" t="s">
        <v>142</v>
      </c>
      <c r="G50" s="60" t="s">
        <v>21</v>
      </c>
      <c r="H50" s="61" t="s">
        <v>132</v>
      </c>
      <c r="I50" s="22">
        <v>8</v>
      </c>
      <c r="J50" s="22">
        <v>3741</v>
      </c>
      <c r="K50" s="22">
        <f>I50*J50</f>
        <v>29928</v>
      </c>
      <c r="L50" s="22"/>
      <c r="M50" s="23"/>
      <c r="N50" s="22"/>
      <c r="O50" s="60" t="s">
        <v>52</v>
      </c>
      <c r="P50" s="24"/>
    </row>
    <row r="51" spans="2:16" ht="20.25" customHeight="1" x14ac:dyDescent="0.25">
      <c r="B51" s="20" t="s">
        <v>17</v>
      </c>
      <c r="C51" s="21" t="s">
        <v>143</v>
      </c>
      <c r="D51" s="21" t="s">
        <v>143</v>
      </c>
      <c r="E51" s="21" t="s">
        <v>144</v>
      </c>
      <c r="F51" s="21" t="s">
        <v>145</v>
      </c>
      <c r="G51" s="60" t="s">
        <v>21</v>
      </c>
      <c r="H51" s="61" t="s">
        <v>22</v>
      </c>
      <c r="I51" s="22">
        <v>2000</v>
      </c>
      <c r="J51" s="22">
        <v>80.36</v>
      </c>
      <c r="K51" s="22">
        <f t="shared" si="2"/>
        <v>160720</v>
      </c>
      <c r="L51" s="22"/>
      <c r="M51" s="23"/>
      <c r="N51" s="22"/>
      <c r="O51" s="60" t="s">
        <v>23</v>
      </c>
      <c r="P51" s="24"/>
    </row>
    <row r="52" spans="2:16" ht="26.25" customHeight="1" x14ac:dyDescent="0.25">
      <c r="B52" s="20" t="s">
        <v>17</v>
      </c>
      <c r="C52" s="21" t="s">
        <v>143</v>
      </c>
      <c r="D52" s="21" t="s">
        <v>143</v>
      </c>
      <c r="E52" s="21" t="s">
        <v>146</v>
      </c>
      <c r="F52" s="21" t="s">
        <v>147</v>
      </c>
      <c r="G52" s="60" t="s">
        <v>21</v>
      </c>
      <c r="H52" s="61" t="s">
        <v>22</v>
      </c>
      <c r="I52" s="22">
        <v>300</v>
      </c>
      <c r="J52" s="22">
        <v>53.57</v>
      </c>
      <c r="K52" s="22">
        <f t="shared" si="2"/>
        <v>16071</v>
      </c>
      <c r="L52" s="22"/>
      <c r="M52" s="23"/>
      <c r="N52" s="22"/>
      <c r="O52" s="60" t="s">
        <v>52</v>
      </c>
      <c r="P52" s="24"/>
    </row>
    <row r="53" spans="2:16" ht="24.75" customHeight="1" x14ac:dyDescent="0.25">
      <c r="B53" s="20" t="s">
        <v>17</v>
      </c>
      <c r="C53" s="21" t="s">
        <v>143</v>
      </c>
      <c r="D53" s="21" t="s">
        <v>143</v>
      </c>
      <c r="E53" s="21" t="s">
        <v>148</v>
      </c>
      <c r="F53" s="21" t="s">
        <v>149</v>
      </c>
      <c r="G53" s="60" t="s">
        <v>21</v>
      </c>
      <c r="H53" s="61" t="s">
        <v>22</v>
      </c>
      <c r="I53" s="22">
        <v>300</v>
      </c>
      <c r="J53" s="22">
        <v>75.89</v>
      </c>
      <c r="K53" s="22">
        <f t="shared" si="2"/>
        <v>22767</v>
      </c>
      <c r="L53" s="22"/>
      <c r="M53" s="23"/>
      <c r="N53" s="22"/>
      <c r="O53" s="60" t="s">
        <v>52</v>
      </c>
      <c r="P53" s="24"/>
    </row>
    <row r="54" spans="2:16" ht="21.75" customHeight="1" x14ac:dyDescent="0.25">
      <c r="B54" s="20" t="s">
        <v>17</v>
      </c>
      <c r="C54" s="21" t="s">
        <v>150</v>
      </c>
      <c r="D54" s="21" t="s">
        <v>150</v>
      </c>
      <c r="E54" s="21" t="s">
        <v>150</v>
      </c>
      <c r="F54" s="21" t="s">
        <v>150</v>
      </c>
      <c r="G54" s="60" t="s">
        <v>21</v>
      </c>
      <c r="H54" s="61" t="s">
        <v>22</v>
      </c>
      <c r="I54" s="22">
        <v>10</v>
      </c>
      <c r="J54" s="22">
        <v>4901.79</v>
      </c>
      <c r="K54" s="22">
        <f t="shared" si="2"/>
        <v>49017.9</v>
      </c>
      <c r="L54" s="22"/>
      <c r="M54" s="23"/>
      <c r="N54" s="22"/>
      <c r="O54" s="60" t="s">
        <v>52</v>
      </c>
      <c r="P54" s="24"/>
    </row>
    <row r="55" spans="2:16" ht="24.75" customHeight="1" x14ac:dyDescent="0.25">
      <c r="B55" s="20" t="s">
        <v>17</v>
      </c>
      <c r="C55" s="21" t="s">
        <v>151</v>
      </c>
      <c r="D55" s="21" t="s">
        <v>152</v>
      </c>
      <c r="E55" s="21" t="s">
        <v>153</v>
      </c>
      <c r="F55" s="21" t="s">
        <v>154</v>
      </c>
      <c r="G55" s="60" t="s">
        <v>21</v>
      </c>
      <c r="H55" s="61" t="s">
        <v>22</v>
      </c>
      <c r="I55" s="22">
        <v>19</v>
      </c>
      <c r="J55" s="22">
        <f>116.07+48.93</f>
        <v>165</v>
      </c>
      <c r="K55" s="22">
        <f t="shared" si="2"/>
        <v>3135</v>
      </c>
      <c r="L55" s="22"/>
      <c r="M55" s="23"/>
      <c r="N55" s="22"/>
      <c r="O55" s="60" t="s">
        <v>52</v>
      </c>
      <c r="P55" s="24"/>
    </row>
    <row r="56" spans="2:16" ht="21.75" customHeight="1" x14ac:dyDescent="0.25">
      <c r="B56" s="20" t="s">
        <v>17</v>
      </c>
      <c r="C56" s="21" t="s">
        <v>155</v>
      </c>
      <c r="D56" s="21" t="s">
        <v>156</v>
      </c>
      <c r="E56" s="21" t="s">
        <v>155</v>
      </c>
      <c r="F56" s="21" t="s">
        <v>156</v>
      </c>
      <c r="G56" s="60" t="s">
        <v>21</v>
      </c>
      <c r="H56" s="61" t="s">
        <v>22</v>
      </c>
      <c r="I56" s="22">
        <v>30</v>
      </c>
      <c r="J56" s="22">
        <v>459.82</v>
      </c>
      <c r="K56" s="22">
        <f t="shared" si="2"/>
        <v>13794.6</v>
      </c>
      <c r="L56" s="22"/>
      <c r="M56" s="23"/>
      <c r="N56" s="22"/>
      <c r="O56" s="60" t="s">
        <v>52</v>
      </c>
      <c r="P56" s="24"/>
    </row>
    <row r="57" spans="2:16" ht="21.75" customHeight="1" x14ac:dyDescent="0.25">
      <c r="B57" s="20" t="s">
        <v>17</v>
      </c>
      <c r="C57" s="21" t="s">
        <v>157</v>
      </c>
      <c r="D57" s="21" t="s">
        <v>157</v>
      </c>
      <c r="E57" s="21" t="s">
        <v>158</v>
      </c>
      <c r="F57" s="21" t="s">
        <v>158</v>
      </c>
      <c r="G57" s="60" t="s">
        <v>21</v>
      </c>
      <c r="H57" s="61" t="s">
        <v>22</v>
      </c>
      <c r="I57" s="22">
        <v>20</v>
      </c>
      <c r="J57" s="22">
        <v>678.57</v>
      </c>
      <c r="K57" s="22">
        <f t="shared" si="2"/>
        <v>13571.400000000001</v>
      </c>
      <c r="L57" s="22"/>
      <c r="M57" s="23"/>
      <c r="N57" s="22"/>
      <c r="O57" s="60" t="s">
        <v>52</v>
      </c>
      <c r="P57" s="24"/>
    </row>
    <row r="58" spans="2:16" ht="24.75" customHeight="1" x14ac:dyDescent="0.25">
      <c r="B58" s="20" t="s">
        <v>17</v>
      </c>
      <c r="C58" s="21" t="s">
        <v>159</v>
      </c>
      <c r="D58" s="21" t="s">
        <v>159</v>
      </c>
      <c r="E58" s="21" t="s">
        <v>159</v>
      </c>
      <c r="F58" s="21" t="s">
        <v>159</v>
      </c>
      <c r="G58" s="60" t="s">
        <v>21</v>
      </c>
      <c r="H58" s="61" t="s">
        <v>22</v>
      </c>
      <c r="I58" s="22">
        <v>15</v>
      </c>
      <c r="J58" s="22">
        <v>245.54</v>
      </c>
      <c r="K58" s="22">
        <f t="shared" si="2"/>
        <v>3683.1</v>
      </c>
      <c r="L58" s="22"/>
      <c r="M58" s="23"/>
      <c r="N58" s="22"/>
      <c r="O58" s="60" t="s">
        <v>52</v>
      </c>
      <c r="P58" s="24"/>
    </row>
    <row r="59" spans="2:16" ht="24" customHeight="1" x14ac:dyDescent="0.25">
      <c r="B59" s="20" t="s">
        <v>17</v>
      </c>
      <c r="C59" s="21" t="s">
        <v>160</v>
      </c>
      <c r="D59" s="21" t="s">
        <v>161</v>
      </c>
      <c r="E59" s="21" t="s">
        <v>162</v>
      </c>
      <c r="F59" s="21" t="s">
        <v>163</v>
      </c>
      <c r="G59" s="60" t="s">
        <v>21</v>
      </c>
      <c r="H59" s="61" t="s">
        <v>22</v>
      </c>
      <c r="I59" s="22">
        <v>15</v>
      </c>
      <c r="J59" s="22">
        <v>1339.29</v>
      </c>
      <c r="K59" s="22">
        <f>I59*J59</f>
        <v>20089.349999999999</v>
      </c>
      <c r="L59" s="22"/>
      <c r="M59" s="23"/>
      <c r="N59" s="22"/>
      <c r="O59" s="60" t="s">
        <v>52</v>
      </c>
      <c r="P59" s="24"/>
    </row>
    <row r="60" spans="2:16" ht="20.25" customHeight="1" x14ac:dyDescent="0.25">
      <c r="B60" s="20" t="s">
        <v>17</v>
      </c>
      <c r="C60" s="21" t="s">
        <v>164</v>
      </c>
      <c r="D60" s="21" t="s">
        <v>165</v>
      </c>
      <c r="E60" s="21" t="s">
        <v>166</v>
      </c>
      <c r="F60" s="21" t="s">
        <v>167</v>
      </c>
      <c r="G60" s="60" t="s">
        <v>21</v>
      </c>
      <c r="H60" s="61" t="s">
        <v>22</v>
      </c>
      <c r="I60" s="22">
        <v>131</v>
      </c>
      <c r="J60" s="22">
        <f>26.79+9.21</f>
        <v>36</v>
      </c>
      <c r="K60" s="22">
        <f t="shared" si="2"/>
        <v>4716</v>
      </c>
      <c r="L60" s="22"/>
      <c r="M60" s="23"/>
      <c r="N60" s="22"/>
      <c r="O60" s="60" t="s">
        <v>52</v>
      </c>
      <c r="P60" s="24"/>
    </row>
    <row r="61" spans="2:16" ht="18.75" customHeight="1" x14ac:dyDescent="0.25">
      <c r="B61" s="20" t="s">
        <v>17</v>
      </c>
      <c r="C61" s="21" t="s">
        <v>168</v>
      </c>
      <c r="D61" s="21" t="s">
        <v>168</v>
      </c>
      <c r="E61" s="21" t="s">
        <v>169</v>
      </c>
      <c r="F61" s="21" t="s">
        <v>170</v>
      </c>
      <c r="G61" s="60" t="s">
        <v>21</v>
      </c>
      <c r="H61" s="61" t="s">
        <v>22</v>
      </c>
      <c r="I61" s="22">
        <v>28</v>
      </c>
      <c r="J61" s="22">
        <v>339.29</v>
      </c>
      <c r="K61" s="22">
        <f t="shared" si="2"/>
        <v>9500.1200000000008</v>
      </c>
      <c r="L61" s="22"/>
      <c r="M61" s="23"/>
      <c r="N61" s="22"/>
      <c r="O61" s="60" t="s">
        <v>52</v>
      </c>
      <c r="P61" s="24"/>
    </row>
    <row r="62" spans="2:16" ht="23.25" customHeight="1" x14ac:dyDescent="0.25">
      <c r="B62" s="20" t="s">
        <v>17</v>
      </c>
      <c r="C62" s="21" t="s">
        <v>168</v>
      </c>
      <c r="D62" s="21" t="s">
        <v>168</v>
      </c>
      <c r="E62" s="21" t="s">
        <v>171</v>
      </c>
      <c r="F62" s="21" t="s">
        <v>172</v>
      </c>
      <c r="G62" s="60" t="s">
        <v>21</v>
      </c>
      <c r="H62" s="61" t="s">
        <v>22</v>
      </c>
      <c r="I62" s="22">
        <v>5</v>
      </c>
      <c r="J62" s="22">
        <v>281.25</v>
      </c>
      <c r="K62" s="22">
        <f t="shared" si="2"/>
        <v>1406.25</v>
      </c>
      <c r="L62" s="22"/>
      <c r="M62" s="23"/>
      <c r="N62" s="22"/>
      <c r="O62" s="60" t="s">
        <v>52</v>
      </c>
      <c r="P62" s="24"/>
    </row>
    <row r="63" spans="2:16" ht="32.25" customHeight="1" x14ac:dyDescent="0.25">
      <c r="B63" s="20" t="s">
        <v>17</v>
      </c>
      <c r="C63" s="21" t="s">
        <v>168</v>
      </c>
      <c r="D63" s="21" t="s">
        <v>168</v>
      </c>
      <c r="E63" s="21" t="s">
        <v>173</v>
      </c>
      <c r="F63" s="21" t="s">
        <v>174</v>
      </c>
      <c r="G63" s="60" t="s">
        <v>21</v>
      </c>
      <c r="H63" s="61" t="s">
        <v>22</v>
      </c>
      <c r="I63" s="22">
        <v>22</v>
      </c>
      <c r="J63" s="22">
        <v>200.89</v>
      </c>
      <c r="K63" s="22">
        <f t="shared" si="2"/>
        <v>4419.58</v>
      </c>
      <c r="L63" s="22"/>
      <c r="M63" s="23"/>
      <c r="N63" s="22"/>
      <c r="O63" s="60" t="s">
        <v>52</v>
      </c>
      <c r="P63" s="24"/>
    </row>
    <row r="64" spans="2:16" ht="28.5" customHeight="1" x14ac:dyDescent="0.25">
      <c r="B64" s="20" t="s">
        <v>17</v>
      </c>
      <c r="C64" s="21" t="s">
        <v>168</v>
      </c>
      <c r="D64" s="21" t="s">
        <v>168</v>
      </c>
      <c r="E64" s="21" t="s">
        <v>175</v>
      </c>
      <c r="F64" s="21" t="s">
        <v>176</v>
      </c>
      <c r="G64" s="60" t="s">
        <v>21</v>
      </c>
      <c r="H64" s="61" t="s">
        <v>22</v>
      </c>
      <c r="I64" s="22">
        <v>42</v>
      </c>
      <c r="J64" s="22">
        <v>205.36</v>
      </c>
      <c r="K64" s="22">
        <f t="shared" si="2"/>
        <v>8625.1200000000008</v>
      </c>
      <c r="L64" s="22"/>
      <c r="M64" s="23"/>
      <c r="N64" s="22"/>
      <c r="O64" s="60" t="s">
        <v>52</v>
      </c>
      <c r="P64" s="24"/>
    </row>
    <row r="65" spans="1:25" ht="27" customHeight="1" x14ac:dyDescent="0.25">
      <c r="B65" s="20" t="s">
        <v>17</v>
      </c>
      <c r="C65" s="21" t="s">
        <v>177</v>
      </c>
      <c r="D65" s="21" t="s">
        <v>178</v>
      </c>
      <c r="E65" s="21" t="s">
        <v>179</v>
      </c>
      <c r="F65" s="21" t="s">
        <v>180</v>
      </c>
      <c r="G65" s="60" t="s">
        <v>21</v>
      </c>
      <c r="H65" s="61" t="s">
        <v>22</v>
      </c>
      <c r="I65" s="22">
        <v>154</v>
      </c>
      <c r="J65" s="22">
        <f>223.21-142.46</f>
        <v>80.75</v>
      </c>
      <c r="K65" s="22">
        <f t="shared" si="2"/>
        <v>12435.5</v>
      </c>
      <c r="L65" s="22"/>
      <c r="M65" s="23"/>
      <c r="N65" s="22"/>
      <c r="O65" s="60" t="s">
        <v>52</v>
      </c>
      <c r="P65" s="24"/>
    </row>
    <row r="66" spans="1:25" ht="27.75" customHeight="1" x14ac:dyDescent="0.25">
      <c r="B66" s="20" t="s">
        <v>17</v>
      </c>
      <c r="C66" s="21" t="s">
        <v>181</v>
      </c>
      <c r="D66" s="21" t="s">
        <v>181</v>
      </c>
      <c r="E66" s="21" t="s">
        <v>182</v>
      </c>
      <c r="F66" s="21" t="s">
        <v>183</v>
      </c>
      <c r="G66" s="60" t="s">
        <v>72</v>
      </c>
      <c r="H66" s="61" t="s">
        <v>22</v>
      </c>
      <c r="I66" s="22">
        <v>50</v>
      </c>
      <c r="J66" s="22">
        <v>397.32</v>
      </c>
      <c r="K66" s="22">
        <f t="shared" si="2"/>
        <v>19866</v>
      </c>
      <c r="L66" s="22"/>
      <c r="M66" s="23"/>
      <c r="N66" s="22"/>
      <c r="O66" s="60" t="s">
        <v>52</v>
      </c>
      <c r="P66" s="24"/>
    </row>
    <row r="67" spans="1:25" ht="26.25" customHeight="1" x14ac:dyDescent="0.25">
      <c r="B67" s="20" t="s">
        <v>17</v>
      </c>
      <c r="C67" s="21" t="s">
        <v>181</v>
      </c>
      <c r="D67" s="21" t="s">
        <v>181</v>
      </c>
      <c r="E67" s="21" t="s">
        <v>184</v>
      </c>
      <c r="F67" s="21" t="s">
        <v>185</v>
      </c>
      <c r="G67" s="60" t="s">
        <v>72</v>
      </c>
      <c r="H67" s="61" t="s">
        <v>22</v>
      </c>
      <c r="I67" s="22">
        <v>225</v>
      </c>
      <c r="J67" s="22">
        <f>584.82+405.18-222.14</f>
        <v>767.86</v>
      </c>
      <c r="K67" s="22">
        <f t="shared" si="2"/>
        <v>172768.5</v>
      </c>
      <c r="L67" s="22"/>
      <c r="M67" s="23"/>
      <c r="N67" s="22"/>
      <c r="O67" s="60" t="s">
        <v>52</v>
      </c>
      <c r="P67" s="24"/>
    </row>
    <row r="68" spans="1:25" ht="24" customHeight="1" x14ac:dyDescent="0.25">
      <c r="B68" s="20" t="s">
        <v>17</v>
      </c>
      <c r="C68" s="21" t="s">
        <v>181</v>
      </c>
      <c r="D68" s="21" t="s">
        <v>181</v>
      </c>
      <c r="E68" s="21" t="s">
        <v>186</v>
      </c>
      <c r="F68" s="21" t="s">
        <v>187</v>
      </c>
      <c r="G68" s="60" t="s">
        <v>21</v>
      </c>
      <c r="H68" s="61" t="s">
        <v>22</v>
      </c>
      <c r="I68" s="22">
        <v>100</v>
      </c>
      <c r="J68" s="22">
        <f>71.43+23.57</f>
        <v>95</v>
      </c>
      <c r="K68" s="22">
        <f>I68*J68</f>
        <v>9500</v>
      </c>
      <c r="L68" s="22"/>
      <c r="M68" s="23"/>
      <c r="N68" s="22"/>
      <c r="O68" s="60" t="s">
        <v>52</v>
      </c>
      <c r="P68" s="24"/>
    </row>
    <row r="69" spans="1:25" ht="24.75" customHeight="1" x14ac:dyDescent="0.25">
      <c r="B69" s="20" t="s">
        <v>17</v>
      </c>
      <c r="C69" s="21" t="s">
        <v>181</v>
      </c>
      <c r="D69" s="21" t="s">
        <v>181</v>
      </c>
      <c r="E69" s="21" t="s">
        <v>188</v>
      </c>
      <c r="F69" s="21" t="s">
        <v>189</v>
      </c>
      <c r="G69" s="60" t="s">
        <v>72</v>
      </c>
      <c r="H69" s="61" t="s">
        <v>22</v>
      </c>
      <c r="I69" s="22">
        <v>50</v>
      </c>
      <c r="J69" s="22">
        <f>758.93+2241.07</f>
        <v>3000</v>
      </c>
      <c r="K69" s="22">
        <f>I69*J69</f>
        <v>150000</v>
      </c>
      <c r="L69" s="22"/>
      <c r="M69" s="23"/>
      <c r="N69" s="22"/>
      <c r="O69" s="60" t="s">
        <v>52</v>
      </c>
      <c r="P69" s="24"/>
    </row>
    <row r="70" spans="1:25" s="8" customFormat="1" ht="26.25" x14ac:dyDescent="0.25">
      <c r="A70"/>
      <c r="B70" s="20" t="s">
        <v>17</v>
      </c>
      <c r="C70" s="21" t="s">
        <v>191</v>
      </c>
      <c r="D70" s="21" t="s">
        <v>192</v>
      </c>
      <c r="E70" s="21" t="s">
        <v>193</v>
      </c>
      <c r="F70" s="21" t="s">
        <v>194</v>
      </c>
      <c r="G70" s="60" t="s">
        <v>21</v>
      </c>
      <c r="H70" s="61" t="s">
        <v>132</v>
      </c>
      <c r="I70" s="22">
        <v>184</v>
      </c>
      <c r="J70" s="22">
        <v>321.42</v>
      </c>
      <c r="K70" s="22">
        <f t="shared" si="2"/>
        <v>59141.280000000006</v>
      </c>
      <c r="L70" s="22"/>
      <c r="M70" s="23"/>
      <c r="N70" s="22"/>
      <c r="O70" s="60" t="s">
        <v>52</v>
      </c>
      <c r="P70" s="24"/>
      <c r="Q70"/>
      <c r="R70"/>
      <c r="S70"/>
      <c r="T70"/>
      <c r="U70"/>
      <c r="V70"/>
      <c r="W70"/>
      <c r="X70"/>
      <c r="Y70"/>
    </row>
    <row r="71" spans="1:25" s="8" customFormat="1" ht="26.25" x14ac:dyDescent="0.25">
      <c r="A71"/>
      <c r="B71" s="20" t="s">
        <v>17</v>
      </c>
      <c r="C71" s="21" t="s">
        <v>191</v>
      </c>
      <c r="D71" s="21" t="s">
        <v>192</v>
      </c>
      <c r="E71" s="21" t="s">
        <v>195</v>
      </c>
      <c r="F71" s="21" t="s">
        <v>196</v>
      </c>
      <c r="G71" s="60" t="s">
        <v>21</v>
      </c>
      <c r="H71" s="61" t="s">
        <v>132</v>
      </c>
      <c r="I71" s="22">
        <v>178</v>
      </c>
      <c r="J71" s="22">
        <v>174.11</v>
      </c>
      <c r="K71" s="22">
        <f t="shared" si="2"/>
        <v>30991.58</v>
      </c>
      <c r="L71" s="22"/>
      <c r="M71" s="23"/>
      <c r="N71" s="22"/>
      <c r="O71" s="60" t="s">
        <v>52</v>
      </c>
      <c r="P71" s="24"/>
      <c r="Q71"/>
      <c r="R71"/>
      <c r="S71"/>
      <c r="T71"/>
      <c r="U71"/>
      <c r="V71"/>
      <c r="W71"/>
      <c r="X71"/>
      <c r="Y71"/>
    </row>
    <row r="72" spans="1:25" s="8" customFormat="1" ht="21.75" customHeight="1" x14ac:dyDescent="0.25">
      <c r="A72"/>
      <c r="B72" s="20" t="s">
        <v>17</v>
      </c>
      <c r="C72" s="21" t="s">
        <v>197</v>
      </c>
      <c r="D72" s="21" t="s">
        <v>198</v>
      </c>
      <c r="E72" s="21" t="s">
        <v>199</v>
      </c>
      <c r="F72" s="21" t="s">
        <v>200</v>
      </c>
      <c r="G72" s="60" t="s">
        <v>21</v>
      </c>
      <c r="H72" s="61" t="s">
        <v>22</v>
      </c>
      <c r="I72" s="22">
        <v>11</v>
      </c>
      <c r="J72" s="22">
        <v>584.82000000000005</v>
      </c>
      <c r="K72" s="22">
        <f t="shared" si="2"/>
        <v>6433.02</v>
      </c>
      <c r="L72" s="22"/>
      <c r="M72" s="23"/>
      <c r="N72" s="22"/>
      <c r="O72" s="60" t="s">
        <v>52</v>
      </c>
      <c r="P72" s="24"/>
      <c r="Q72"/>
      <c r="R72"/>
      <c r="S72"/>
      <c r="T72"/>
      <c r="U72"/>
      <c r="V72"/>
      <c r="W72"/>
      <c r="X72"/>
      <c r="Y72"/>
    </row>
    <row r="73" spans="1:25" s="8" customFormat="1" ht="25.5" customHeight="1" x14ac:dyDescent="0.25">
      <c r="A73"/>
      <c r="B73" s="20" t="s">
        <v>17</v>
      </c>
      <c r="C73" s="21" t="s">
        <v>201</v>
      </c>
      <c r="D73" s="21" t="s">
        <v>202</v>
      </c>
      <c r="E73" s="21" t="s">
        <v>201</v>
      </c>
      <c r="F73" s="21" t="s">
        <v>202</v>
      </c>
      <c r="G73" s="60" t="s">
        <v>21</v>
      </c>
      <c r="H73" s="61" t="s">
        <v>22</v>
      </c>
      <c r="I73" s="22">
        <v>20</v>
      </c>
      <c r="J73" s="22">
        <f>5625-3175</f>
        <v>2450</v>
      </c>
      <c r="K73" s="22">
        <f t="shared" si="2"/>
        <v>49000</v>
      </c>
      <c r="L73" s="22"/>
      <c r="M73" s="23"/>
      <c r="N73" s="22"/>
      <c r="O73" s="60" t="s">
        <v>52</v>
      </c>
      <c r="P73" s="24"/>
      <c r="Q73"/>
      <c r="R73"/>
      <c r="S73"/>
      <c r="T73"/>
      <c r="U73"/>
      <c r="V73"/>
      <c r="W73"/>
      <c r="X73"/>
      <c r="Y73"/>
    </row>
    <row r="74" spans="1:25" s="8" customFormat="1" ht="23.25" customHeight="1" x14ac:dyDescent="0.25">
      <c r="A74"/>
      <c r="B74" s="20" t="s">
        <v>17</v>
      </c>
      <c r="C74" s="21" t="s">
        <v>203</v>
      </c>
      <c r="D74" s="21" t="s">
        <v>204</v>
      </c>
      <c r="E74" s="21" t="s">
        <v>205</v>
      </c>
      <c r="F74" s="21" t="s">
        <v>206</v>
      </c>
      <c r="G74" s="60" t="s">
        <v>21</v>
      </c>
      <c r="H74" s="61" t="s">
        <v>132</v>
      </c>
      <c r="I74" s="22">
        <v>44</v>
      </c>
      <c r="J74" s="22">
        <v>169.64</v>
      </c>
      <c r="K74" s="22">
        <f t="shared" si="2"/>
        <v>7464.16</v>
      </c>
      <c r="L74" s="22"/>
      <c r="M74" s="23"/>
      <c r="N74" s="22"/>
      <c r="O74" s="60" t="s">
        <v>52</v>
      </c>
      <c r="P74" s="24"/>
      <c r="Q74"/>
      <c r="R74"/>
      <c r="S74"/>
      <c r="T74"/>
      <c r="U74"/>
      <c r="V74"/>
      <c r="W74"/>
      <c r="X74"/>
      <c r="Y74"/>
    </row>
    <row r="75" spans="1:25" s="8" customFormat="1" ht="23.25" customHeight="1" x14ac:dyDescent="0.25">
      <c r="A75"/>
      <c r="B75" s="20" t="s">
        <v>17</v>
      </c>
      <c r="C75" s="21" t="s">
        <v>203</v>
      </c>
      <c r="D75" s="21" t="s">
        <v>204</v>
      </c>
      <c r="E75" s="21" t="s">
        <v>207</v>
      </c>
      <c r="F75" s="21" t="s">
        <v>208</v>
      </c>
      <c r="G75" s="60" t="s">
        <v>21</v>
      </c>
      <c r="H75" s="61" t="s">
        <v>132</v>
      </c>
      <c r="I75" s="22">
        <v>53</v>
      </c>
      <c r="J75" s="22">
        <v>415.18</v>
      </c>
      <c r="K75" s="22">
        <f t="shared" si="2"/>
        <v>22004.54</v>
      </c>
      <c r="L75" s="22"/>
      <c r="M75" s="23"/>
      <c r="N75" s="22"/>
      <c r="O75" s="60" t="s">
        <v>52</v>
      </c>
      <c r="P75" s="24"/>
      <c r="Q75"/>
      <c r="R75"/>
      <c r="S75"/>
      <c r="T75"/>
      <c r="U75"/>
      <c r="V75"/>
      <c r="W75"/>
      <c r="X75"/>
      <c r="Y75"/>
    </row>
    <row r="76" spans="1:25" s="8" customFormat="1" ht="26.25" x14ac:dyDescent="0.25">
      <c r="A76"/>
      <c r="B76" s="20" t="s">
        <v>17</v>
      </c>
      <c r="C76" s="21" t="s">
        <v>209</v>
      </c>
      <c r="D76" s="21" t="s">
        <v>210</v>
      </c>
      <c r="E76" s="21" t="s">
        <v>211</v>
      </c>
      <c r="F76" s="21" t="s">
        <v>212</v>
      </c>
      <c r="G76" s="60" t="s">
        <v>21</v>
      </c>
      <c r="H76" s="61" t="s">
        <v>22</v>
      </c>
      <c r="I76" s="22">
        <v>86</v>
      </c>
      <c r="J76" s="22">
        <v>160.71</v>
      </c>
      <c r="K76" s="22">
        <f t="shared" si="2"/>
        <v>13821.060000000001</v>
      </c>
      <c r="L76" s="22"/>
      <c r="M76" s="23"/>
      <c r="N76" s="22"/>
      <c r="O76" s="60" t="s">
        <v>52</v>
      </c>
      <c r="P76" s="24"/>
      <c r="Q76"/>
      <c r="R76"/>
      <c r="S76"/>
      <c r="T76"/>
      <c r="U76"/>
      <c r="V76"/>
      <c r="W76"/>
      <c r="X76"/>
      <c r="Y76"/>
    </row>
    <row r="77" spans="1:25" s="8" customFormat="1" ht="26.25" x14ac:dyDescent="0.25">
      <c r="A77"/>
      <c r="B77" s="20" t="s">
        <v>17</v>
      </c>
      <c r="C77" s="21" t="s">
        <v>213</v>
      </c>
      <c r="D77" s="21" t="s">
        <v>213</v>
      </c>
      <c r="E77" s="21" t="s">
        <v>214</v>
      </c>
      <c r="F77" s="21" t="s">
        <v>215</v>
      </c>
      <c r="G77" s="60" t="s">
        <v>72</v>
      </c>
      <c r="H77" s="61" t="s">
        <v>22</v>
      </c>
      <c r="I77" s="22">
        <v>1000</v>
      </c>
      <c r="J77" s="22">
        <v>62.5</v>
      </c>
      <c r="K77" s="22">
        <f t="shared" si="2"/>
        <v>62500</v>
      </c>
      <c r="L77" s="22"/>
      <c r="M77" s="23"/>
      <c r="N77" s="22"/>
      <c r="O77" s="60" t="s">
        <v>52</v>
      </c>
      <c r="P77" s="24"/>
      <c r="Q77"/>
      <c r="R77"/>
      <c r="S77"/>
      <c r="T77"/>
      <c r="U77"/>
      <c r="V77"/>
      <c r="W77"/>
      <c r="X77"/>
      <c r="Y77"/>
    </row>
    <row r="78" spans="1:25" s="8" customFormat="1" ht="26.25" x14ac:dyDescent="0.25">
      <c r="A78"/>
      <c r="B78" s="20" t="s">
        <v>17</v>
      </c>
      <c r="C78" s="21" t="s">
        <v>216</v>
      </c>
      <c r="D78" s="21" t="s">
        <v>217</v>
      </c>
      <c r="E78" s="21" t="s">
        <v>218</v>
      </c>
      <c r="F78" s="21" t="s">
        <v>219</v>
      </c>
      <c r="G78" s="60" t="s">
        <v>72</v>
      </c>
      <c r="H78" s="61" t="s">
        <v>22</v>
      </c>
      <c r="I78" s="22">
        <v>26</v>
      </c>
      <c r="J78" s="22">
        <v>214.29</v>
      </c>
      <c r="K78" s="22">
        <f t="shared" si="2"/>
        <v>5571.54</v>
      </c>
      <c r="L78" s="22"/>
      <c r="M78" s="23"/>
      <c r="N78" s="22"/>
      <c r="O78" s="60" t="s">
        <v>52</v>
      </c>
      <c r="P78" s="24"/>
      <c r="Q78"/>
      <c r="R78"/>
      <c r="S78"/>
      <c r="T78"/>
      <c r="U78"/>
      <c r="V78"/>
      <c r="W78"/>
      <c r="X78"/>
      <c r="Y78"/>
    </row>
    <row r="79" spans="1:25" s="8" customFormat="1" ht="23.25" customHeight="1" x14ac:dyDescent="0.25">
      <c r="A79"/>
      <c r="B79" s="20" t="s">
        <v>17</v>
      </c>
      <c r="C79" s="21" t="s">
        <v>220</v>
      </c>
      <c r="D79" s="21" t="s">
        <v>221</v>
      </c>
      <c r="E79" s="21" t="s">
        <v>222</v>
      </c>
      <c r="F79" s="21" t="s">
        <v>223</v>
      </c>
      <c r="G79" s="60" t="s">
        <v>21</v>
      </c>
      <c r="H79" s="61" t="s">
        <v>22</v>
      </c>
      <c r="I79" s="22">
        <v>3</v>
      </c>
      <c r="J79" s="22">
        <v>803.56</v>
      </c>
      <c r="K79" s="22">
        <f t="shared" si="2"/>
        <v>2410.6799999999998</v>
      </c>
      <c r="L79" s="22"/>
      <c r="M79" s="23"/>
      <c r="N79" s="22"/>
      <c r="O79" s="60" t="s">
        <v>52</v>
      </c>
      <c r="P79" s="24"/>
      <c r="Q79"/>
      <c r="R79"/>
      <c r="S79"/>
      <c r="T79"/>
      <c r="U79"/>
      <c r="V79"/>
      <c r="W79"/>
      <c r="X79"/>
      <c r="Y79"/>
    </row>
    <row r="80" spans="1:25" s="8" customFormat="1" ht="20.25" customHeight="1" x14ac:dyDescent="0.25">
      <c r="A80"/>
      <c r="B80" s="20" t="s">
        <v>17</v>
      </c>
      <c r="C80" s="21" t="s">
        <v>224</v>
      </c>
      <c r="D80" s="21" t="s">
        <v>225</v>
      </c>
      <c r="E80" s="21" t="s">
        <v>226</v>
      </c>
      <c r="F80" s="21" t="s">
        <v>227</v>
      </c>
      <c r="G80" s="60" t="s">
        <v>21</v>
      </c>
      <c r="H80" s="61" t="s">
        <v>83</v>
      </c>
      <c r="I80" s="22">
        <v>27</v>
      </c>
      <c r="J80" s="22">
        <v>1473.2</v>
      </c>
      <c r="K80" s="22">
        <f t="shared" si="2"/>
        <v>39776.400000000001</v>
      </c>
      <c r="L80" s="22"/>
      <c r="M80" s="23"/>
      <c r="N80" s="22"/>
      <c r="O80" s="60" t="s">
        <v>52</v>
      </c>
      <c r="P80" s="24"/>
      <c r="Q80"/>
      <c r="R80"/>
      <c r="S80"/>
      <c r="T80"/>
      <c r="U80"/>
      <c r="V80"/>
      <c r="W80"/>
      <c r="X80"/>
      <c r="Y80"/>
    </row>
    <row r="81" spans="1:25" s="8" customFormat="1" ht="26.25" customHeight="1" x14ac:dyDescent="0.25">
      <c r="A81"/>
      <c r="B81" s="20" t="s">
        <v>17</v>
      </c>
      <c r="C81" s="21" t="s">
        <v>228</v>
      </c>
      <c r="D81" s="21" t="s">
        <v>229</v>
      </c>
      <c r="E81" s="21" t="s">
        <v>230</v>
      </c>
      <c r="F81" s="21" t="s">
        <v>231</v>
      </c>
      <c r="G81" s="60" t="s">
        <v>21</v>
      </c>
      <c r="H81" s="61" t="s">
        <v>232</v>
      </c>
      <c r="I81" s="22">
        <v>7000</v>
      </c>
      <c r="J81" s="22">
        <v>251.87</v>
      </c>
      <c r="K81" s="22">
        <f t="shared" si="2"/>
        <v>1763090</v>
      </c>
      <c r="L81" s="22"/>
      <c r="M81" s="23"/>
      <c r="N81" s="22"/>
      <c r="O81" s="60" t="s">
        <v>52</v>
      </c>
      <c r="P81" s="24"/>
      <c r="Q81"/>
      <c r="R81"/>
      <c r="S81"/>
      <c r="T81"/>
      <c r="U81"/>
      <c r="V81"/>
      <c r="W81"/>
      <c r="X81"/>
      <c r="Y81"/>
    </row>
    <row r="82" spans="1:25" s="8" customFormat="1" ht="24.75" customHeight="1" x14ac:dyDescent="0.25">
      <c r="A82"/>
      <c r="B82" s="20" t="s">
        <v>17</v>
      </c>
      <c r="C82" s="21" t="s">
        <v>233</v>
      </c>
      <c r="D82" s="21" t="s">
        <v>234</v>
      </c>
      <c r="E82" s="21" t="s">
        <v>235</v>
      </c>
      <c r="F82" s="21" t="s">
        <v>236</v>
      </c>
      <c r="G82" s="60" t="s">
        <v>21</v>
      </c>
      <c r="H82" s="61" t="s">
        <v>22</v>
      </c>
      <c r="I82" s="22">
        <v>3</v>
      </c>
      <c r="J82" s="22">
        <v>3160.7</v>
      </c>
      <c r="K82" s="22">
        <f t="shared" si="2"/>
        <v>9482.0999999999985</v>
      </c>
      <c r="L82" s="22"/>
      <c r="M82" s="23"/>
      <c r="N82" s="22"/>
      <c r="O82" s="60" t="s">
        <v>23</v>
      </c>
      <c r="P82" s="24"/>
      <c r="Q82"/>
      <c r="R82"/>
      <c r="S82"/>
      <c r="T82"/>
      <c r="U82"/>
      <c r="V82"/>
      <c r="W82"/>
      <c r="X82"/>
      <c r="Y82"/>
    </row>
    <row r="83" spans="1:25" s="8" customFormat="1" ht="24.75" customHeight="1" x14ac:dyDescent="0.25">
      <c r="A83"/>
      <c r="B83" s="20" t="s">
        <v>17</v>
      </c>
      <c r="C83" s="21" t="s">
        <v>237</v>
      </c>
      <c r="D83" s="21" t="s">
        <v>238</v>
      </c>
      <c r="E83" s="21" t="s">
        <v>239</v>
      </c>
      <c r="F83" s="21" t="s">
        <v>240</v>
      </c>
      <c r="G83" s="60" t="s">
        <v>21</v>
      </c>
      <c r="H83" s="61" t="s">
        <v>22</v>
      </c>
      <c r="I83" s="22">
        <v>9</v>
      </c>
      <c r="J83" s="22">
        <v>3348.2</v>
      </c>
      <c r="K83" s="22">
        <f t="shared" si="2"/>
        <v>30133.8</v>
      </c>
      <c r="L83" s="22"/>
      <c r="M83" s="23"/>
      <c r="N83" s="22"/>
      <c r="O83" s="60" t="s">
        <v>52</v>
      </c>
      <c r="P83" s="24"/>
      <c r="Q83"/>
      <c r="R83"/>
      <c r="S83"/>
      <c r="T83"/>
      <c r="U83"/>
      <c r="V83"/>
      <c r="W83"/>
      <c r="X83"/>
      <c r="Y83"/>
    </row>
    <row r="84" spans="1:25" s="8" customFormat="1" ht="26.25" x14ac:dyDescent="0.25">
      <c r="A84"/>
      <c r="B84" s="20" t="s">
        <v>17</v>
      </c>
      <c r="C84" s="21" t="s">
        <v>241</v>
      </c>
      <c r="D84" s="21" t="s">
        <v>242</v>
      </c>
      <c r="E84" s="21" t="s">
        <v>243</v>
      </c>
      <c r="F84" s="21" t="s">
        <v>244</v>
      </c>
      <c r="G84" s="60" t="s">
        <v>72</v>
      </c>
      <c r="H84" s="61" t="s">
        <v>245</v>
      </c>
      <c r="I84" s="22">
        <v>1</v>
      </c>
      <c r="J84" s="22">
        <v>36637704</v>
      </c>
      <c r="K84" s="22">
        <f t="shared" si="2"/>
        <v>36637704</v>
      </c>
      <c r="L84" s="22"/>
      <c r="M84" s="22"/>
      <c r="N84" s="22"/>
      <c r="O84" s="64" t="s">
        <v>26</v>
      </c>
      <c r="P84" s="24"/>
      <c r="Q84"/>
      <c r="R84"/>
      <c r="S84"/>
      <c r="T84"/>
      <c r="U84"/>
      <c r="V84"/>
      <c r="W84"/>
      <c r="X84"/>
      <c r="Y84"/>
    </row>
    <row r="85" spans="1:25" s="8" customFormat="1" ht="39" x14ac:dyDescent="0.25">
      <c r="A85"/>
      <c r="B85" s="20" t="s">
        <v>17</v>
      </c>
      <c r="C85" s="21" t="s">
        <v>241</v>
      </c>
      <c r="D85" s="21" t="s">
        <v>242</v>
      </c>
      <c r="E85" s="21" t="s">
        <v>243</v>
      </c>
      <c r="F85" s="21" t="s">
        <v>244</v>
      </c>
      <c r="G85" s="60" t="s">
        <v>246</v>
      </c>
      <c r="H85" s="61" t="s">
        <v>245</v>
      </c>
      <c r="I85" s="22">
        <v>1</v>
      </c>
      <c r="J85" s="22">
        <v>3561999</v>
      </c>
      <c r="K85" s="22">
        <f t="shared" si="2"/>
        <v>3561999</v>
      </c>
      <c r="L85" s="22"/>
      <c r="M85" s="22"/>
      <c r="N85" s="22"/>
      <c r="O85" s="64" t="s">
        <v>78</v>
      </c>
      <c r="P85" s="24"/>
      <c r="Q85"/>
      <c r="R85"/>
      <c r="S85"/>
      <c r="T85"/>
      <c r="U85"/>
      <c r="V85"/>
      <c r="W85"/>
      <c r="X85"/>
      <c r="Y85"/>
    </row>
    <row r="86" spans="1:25" s="8" customFormat="1" ht="39.75" customHeight="1" x14ac:dyDescent="0.25">
      <c r="A86"/>
      <c r="B86" s="20" t="s">
        <v>17</v>
      </c>
      <c r="C86" s="21" t="s">
        <v>247</v>
      </c>
      <c r="D86" s="21" t="s">
        <v>248</v>
      </c>
      <c r="E86" s="21" t="s">
        <v>249</v>
      </c>
      <c r="F86" s="21" t="s">
        <v>250</v>
      </c>
      <c r="G86" s="60" t="s">
        <v>21</v>
      </c>
      <c r="H86" s="61" t="s">
        <v>245</v>
      </c>
      <c r="I86" s="22">
        <v>1</v>
      </c>
      <c r="J86" s="22">
        <f>5916760.7+1133082.99</f>
        <v>7049843.6900000004</v>
      </c>
      <c r="K86" s="22">
        <f t="shared" si="2"/>
        <v>7049843.6900000004</v>
      </c>
      <c r="L86" s="22"/>
      <c r="M86" s="22"/>
      <c r="N86" s="22"/>
      <c r="O86" s="60" t="s">
        <v>78</v>
      </c>
      <c r="P86" s="24"/>
      <c r="Q86"/>
      <c r="R86"/>
      <c r="S86"/>
      <c r="T86"/>
      <c r="U86"/>
      <c r="V86"/>
      <c r="W86"/>
      <c r="X86"/>
      <c r="Y86"/>
    </row>
    <row r="87" spans="1:25" s="8" customFormat="1" ht="27" customHeight="1" x14ac:dyDescent="0.25">
      <c r="A87"/>
      <c r="B87" s="20" t="s">
        <v>17</v>
      </c>
      <c r="C87" s="21" t="s">
        <v>251</v>
      </c>
      <c r="D87" s="21" t="s">
        <v>252</v>
      </c>
      <c r="E87" s="21" t="s">
        <v>253</v>
      </c>
      <c r="F87" s="21" t="s">
        <v>254</v>
      </c>
      <c r="G87" s="60" t="s">
        <v>255</v>
      </c>
      <c r="H87" s="61" t="s">
        <v>245</v>
      </c>
      <c r="I87" s="22">
        <v>1</v>
      </c>
      <c r="J87" s="22">
        <v>20800000</v>
      </c>
      <c r="K87" s="22">
        <f t="shared" si="2"/>
        <v>20800000</v>
      </c>
      <c r="L87" s="22"/>
      <c r="M87" s="22"/>
      <c r="N87" s="22"/>
      <c r="O87" s="60" t="s">
        <v>26</v>
      </c>
      <c r="P87" s="24"/>
      <c r="Q87"/>
      <c r="R87"/>
      <c r="S87"/>
      <c r="T87"/>
      <c r="U87"/>
      <c r="V87"/>
      <c r="W87"/>
      <c r="X87"/>
      <c r="Y87"/>
    </row>
    <row r="88" spans="1:25" s="8" customFormat="1" ht="26.25" customHeight="1" x14ac:dyDescent="0.25">
      <c r="A88"/>
      <c r="B88" s="20" t="s">
        <v>17</v>
      </c>
      <c r="C88" s="21" t="s">
        <v>251</v>
      </c>
      <c r="D88" s="21" t="s">
        <v>252</v>
      </c>
      <c r="E88" s="21" t="s">
        <v>256</v>
      </c>
      <c r="F88" s="21" t="s">
        <v>257</v>
      </c>
      <c r="G88" s="60" t="s">
        <v>255</v>
      </c>
      <c r="H88" s="61" t="s">
        <v>245</v>
      </c>
      <c r="I88" s="22">
        <v>1</v>
      </c>
      <c r="J88" s="22">
        <v>7350000</v>
      </c>
      <c r="K88" s="22">
        <f t="shared" si="2"/>
        <v>7350000</v>
      </c>
      <c r="L88" s="22"/>
      <c r="M88" s="22"/>
      <c r="N88" s="22"/>
      <c r="O88" s="60" t="s">
        <v>26</v>
      </c>
      <c r="P88" s="24"/>
      <c r="Q88"/>
      <c r="R88"/>
      <c r="S88"/>
      <c r="T88"/>
      <c r="U88"/>
      <c r="V88"/>
      <c r="W88"/>
      <c r="X88"/>
      <c r="Y88"/>
    </row>
    <row r="89" spans="1:25" s="8" customFormat="1" ht="26.25" x14ac:dyDescent="0.25">
      <c r="A89"/>
      <c r="B89" s="20" t="s">
        <v>17</v>
      </c>
      <c r="C89" s="21" t="s">
        <v>258</v>
      </c>
      <c r="D89" s="21" t="s">
        <v>259</v>
      </c>
      <c r="E89" s="21" t="s">
        <v>260</v>
      </c>
      <c r="F89" s="21" t="s">
        <v>261</v>
      </c>
      <c r="G89" s="60" t="s">
        <v>72</v>
      </c>
      <c r="H89" s="61" t="s">
        <v>245</v>
      </c>
      <c r="I89" s="22">
        <v>1</v>
      </c>
      <c r="J89" s="22">
        <v>9240000</v>
      </c>
      <c r="K89" s="22">
        <f t="shared" si="2"/>
        <v>9240000</v>
      </c>
      <c r="L89" s="22"/>
      <c r="M89" s="22"/>
      <c r="N89" s="22"/>
      <c r="O89" s="60" t="s">
        <v>262</v>
      </c>
      <c r="P89" s="24"/>
      <c r="Q89"/>
      <c r="R89"/>
      <c r="S89"/>
      <c r="T89"/>
      <c r="U89"/>
      <c r="V89"/>
      <c r="W89"/>
      <c r="X89"/>
      <c r="Y89"/>
    </row>
    <row r="90" spans="1:25" s="8" customFormat="1" ht="29.25" customHeight="1" x14ac:dyDescent="0.25">
      <c r="A90"/>
      <c r="B90" s="20" t="s">
        <v>17</v>
      </c>
      <c r="C90" s="21" t="s">
        <v>251</v>
      </c>
      <c r="D90" s="21" t="s">
        <v>252</v>
      </c>
      <c r="E90" s="21" t="s">
        <v>263</v>
      </c>
      <c r="F90" s="21" t="s">
        <v>264</v>
      </c>
      <c r="G90" s="60" t="s">
        <v>255</v>
      </c>
      <c r="H90" s="61" t="s">
        <v>245</v>
      </c>
      <c r="I90" s="22">
        <v>1</v>
      </c>
      <c r="J90" s="22">
        <f>44000000-5000000</f>
        <v>39000000</v>
      </c>
      <c r="K90" s="22">
        <f t="shared" si="2"/>
        <v>39000000</v>
      </c>
      <c r="L90" s="22"/>
      <c r="M90" s="22"/>
      <c r="N90" s="22"/>
      <c r="O90" s="60" t="s">
        <v>265</v>
      </c>
      <c r="P90" s="24"/>
      <c r="Q90"/>
      <c r="R90"/>
      <c r="S90"/>
      <c r="T90"/>
      <c r="U90"/>
      <c r="V90"/>
      <c r="W90"/>
      <c r="X90"/>
      <c r="Y90"/>
    </row>
    <row r="91" spans="1:25" s="8" customFormat="1" ht="30.75" customHeight="1" x14ac:dyDescent="0.25">
      <c r="A91"/>
      <c r="B91" s="20" t="s">
        <v>17</v>
      </c>
      <c r="C91" s="21" t="s">
        <v>266</v>
      </c>
      <c r="D91" s="21" t="s">
        <v>267</v>
      </c>
      <c r="E91" s="21" t="s">
        <v>268</v>
      </c>
      <c r="F91" s="21" t="s">
        <v>269</v>
      </c>
      <c r="G91" s="60" t="s">
        <v>72</v>
      </c>
      <c r="H91" s="61" t="s">
        <v>245</v>
      </c>
      <c r="I91" s="22">
        <v>1</v>
      </c>
      <c r="J91" s="22">
        <v>5000000</v>
      </c>
      <c r="K91" s="22">
        <f>I91*J91</f>
        <v>5000000</v>
      </c>
      <c r="L91" s="22"/>
      <c r="M91" s="32"/>
      <c r="N91" s="22"/>
      <c r="O91" s="60" t="s">
        <v>78</v>
      </c>
      <c r="P91" s="32"/>
      <c r="Q91"/>
      <c r="R91"/>
      <c r="S91"/>
      <c r="T91"/>
      <c r="U91"/>
      <c r="V91"/>
      <c r="W91"/>
      <c r="X91"/>
      <c r="Y91"/>
    </row>
    <row r="92" spans="1:25" s="8" customFormat="1" ht="39" x14ac:dyDescent="0.25">
      <c r="A92"/>
      <c r="B92" s="20" t="s">
        <v>17</v>
      </c>
      <c r="C92" s="21" t="s">
        <v>270</v>
      </c>
      <c r="D92" s="21" t="s">
        <v>271</v>
      </c>
      <c r="E92" s="21" t="s">
        <v>272</v>
      </c>
      <c r="F92" s="21" t="s">
        <v>273</v>
      </c>
      <c r="G92" s="60" t="s">
        <v>72</v>
      </c>
      <c r="H92" s="61" t="s">
        <v>245</v>
      </c>
      <c r="I92" s="22">
        <v>1</v>
      </c>
      <c r="J92" s="22">
        <f>38571489.2-24107203.5</f>
        <v>14464285.700000003</v>
      </c>
      <c r="K92" s="22">
        <f t="shared" si="2"/>
        <v>14464285.700000003</v>
      </c>
      <c r="L92" s="22"/>
      <c r="M92" s="22"/>
      <c r="N92" s="22"/>
      <c r="O92" s="60" t="s">
        <v>52</v>
      </c>
      <c r="P92" s="24"/>
      <c r="Q92"/>
      <c r="R92"/>
      <c r="S92"/>
      <c r="T92"/>
      <c r="U92"/>
      <c r="V92"/>
      <c r="W92"/>
      <c r="X92"/>
      <c r="Y92"/>
    </row>
    <row r="93" spans="1:25" s="8" customFormat="1" ht="26.25" x14ac:dyDescent="0.25">
      <c r="A93"/>
      <c r="B93" s="20" t="s">
        <v>17</v>
      </c>
      <c r="C93" s="21" t="s">
        <v>274</v>
      </c>
      <c r="D93" s="21" t="s">
        <v>275</v>
      </c>
      <c r="E93" s="21" t="s">
        <v>276</v>
      </c>
      <c r="F93" s="21" t="s">
        <v>277</v>
      </c>
      <c r="G93" s="60" t="s">
        <v>72</v>
      </c>
      <c r="H93" s="61" t="s">
        <v>245</v>
      </c>
      <c r="I93" s="22">
        <v>1</v>
      </c>
      <c r="J93" s="22">
        <v>249600</v>
      </c>
      <c r="K93" s="22">
        <f t="shared" si="2"/>
        <v>249600</v>
      </c>
      <c r="L93" s="22"/>
      <c r="M93" s="22"/>
      <c r="N93" s="22"/>
      <c r="O93" s="60" t="s">
        <v>26</v>
      </c>
      <c r="P93" s="24"/>
      <c r="Q93"/>
      <c r="R93"/>
      <c r="S93"/>
      <c r="T93"/>
      <c r="U93"/>
      <c r="V93"/>
      <c r="W93"/>
      <c r="X93"/>
      <c r="Y93"/>
    </row>
    <row r="94" spans="1:25" s="8" customFormat="1" ht="26.25" x14ac:dyDescent="0.25">
      <c r="A94"/>
      <c r="B94" s="20" t="s">
        <v>17</v>
      </c>
      <c r="C94" s="21" t="s">
        <v>274</v>
      </c>
      <c r="D94" s="21" t="s">
        <v>275</v>
      </c>
      <c r="E94" s="21" t="s">
        <v>278</v>
      </c>
      <c r="F94" s="21" t="s">
        <v>279</v>
      </c>
      <c r="G94" s="60" t="s">
        <v>72</v>
      </c>
      <c r="H94" s="61" t="s">
        <v>245</v>
      </c>
      <c r="I94" s="22">
        <v>1</v>
      </c>
      <c r="J94" s="22">
        <v>417600</v>
      </c>
      <c r="K94" s="22">
        <f t="shared" si="2"/>
        <v>417600</v>
      </c>
      <c r="L94" s="22"/>
      <c r="M94" s="22"/>
      <c r="N94" s="22"/>
      <c r="O94" s="60" t="s">
        <v>26</v>
      </c>
      <c r="P94" s="34"/>
      <c r="Q94"/>
      <c r="R94"/>
      <c r="S94"/>
      <c r="T94"/>
      <c r="U94"/>
      <c r="V94"/>
      <c r="W94"/>
      <c r="X94"/>
      <c r="Y94"/>
    </row>
    <row r="95" spans="1:25" s="8" customFormat="1" ht="39" x14ac:dyDescent="0.25">
      <c r="A95"/>
      <c r="B95" s="20" t="s">
        <v>17</v>
      </c>
      <c r="C95" s="21" t="s">
        <v>280</v>
      </c>
      <c r="D95" s="21" t="s">
        <v>281</v>
      </c>
      <c r="E95" s="21" t="s">
        <v>282</v>
      </c>
      <c r="F95" s="21" t="s">
        <v>283</v>
      </c>
      <c r="G95" s="60" t="s">
        <v>72</v>
      </c>
      <c r="H95" s="61" t="s">
        <v>245</v>
      </c>
      <c r="I95" s="22">
        <v>1</v>
      </c>
      <c r="J95" s="22">
        <v>102240</v>
      </c>
      <c r="K95" s="22">
        <f t="shared" si="2"/>
        <v>102240</v>
      </c>
      <c r="L95" s="22"/>
      <c r="M95" s="22"/>
      <c r="N95" s="22"/>
      <c r="O95" s="60" t="s">
        <v>26</v>
      </c>
      <c r="P95" s="34"/>
      <c r="Q95"/>
      <c r="R95"/>
      <c r="S95"/>
      <c r="T95"/>
      <c r="U95"/>
      <c r="V95"/>
      <c r="W95"/>
      <c r="X95"/>
      <c r="Y95"/>
    </row>
    <row r="96" spans="1:25" s="8" customFormat="1" ht="26.25" x14ac:dyDescent="0.25">
      <c r="A96"/>
      <c r="B96" s="20" t="s">
        <v>17</v>
      </c>
      <c r="C96" s="21" t="s">
        <v>284</v>
      </c>
      <c r="D96" s="21" t="s">
        <v>285</v>
      </c>
      <c r="E96" s="21" t="s">
        <v>286</v>
      </c>
      <c r="F96" s="21" t="s">
        <v>287</v>
      </c>
      <c r="G96" s="60" t="s">
        <v>21</v>
      </c>
      <c r="H96" s="61" t="s">
        <v>288</v>
      </c>
      <c r="I96" s="22">
        <v>1</v>
      </c>
      <c r="J96" s="22">
        <v>425680.49999999977</v>
      </c>
      <c r="K96" s="22">
        <f t="shared" si="2"/>
        <v>425680.49999999977</v>
      </c>
      <c r="L96" s="22"/>
      <c r="M96" s="22"/>
      <c r="N96" s="22"/>
      <c r="O96" s="60" t="s">
        <v>26</v>
      </c>
      <c r="P96" s="24"/>
      <c r="Q96"/>
      <c r="R96"/>
      <c r="S96"/>
      <c r="T96"/>
      <c r="U96"/>
      <c r="V96"/>
      <c r="W96"/>
      <c r="X96"/>
      <c r="Y96"/>
    </row>
    <row r="97" spans="1:25" s="8" customFormat="1" ht="26.25" x14ac:dyDescent="0.25">
      <c r="A97"/>
      <c r="B97" s="20" t="s">
        <v>17</v>
      </c>
      <c r="C97" s="21" t="s">
        <v>284</v>
      </c>
      <c r="D97" s="21" t="s">
        <v>285</v>
      </c>
      <c r="E97" s="21" t="s">
        <v>289</v>
      </c>
      <c r="F97" s="21" t="s">
        <v>290</v>
      </c>
      <c r="G97" s="60" t="s">
        <v>21</v>
      </c>
      <c r="H97" s="61" t="s">
        <v>288</v>
      </c>
      <c r="I97" s="22">
        <v>1</v>
      </c>
      <c r="J97" s="22">
        <v>1586850</v>
      </c>
      <c r="K97" s="22">
        <f t="shared" si="2"/>
        <v>1586850</v>
      </c>
      <c r="L97" s="22"/>
      <c r="M97" s="22"/>
      <c r="N97" s="22"/>
      <c r="O97" s="60" t="s">
        <v>26</v>
      </c>
      <c r="P97" s="34"/>
      <c r="Q97"/>
      <c r="R97"/>
      <c r="S97"/>
      <c r="T97"/>
      <c r="U97"/>
      <c r="V97"/>
      <c r="W97"/>
      <c r="X97"/>
      <c r="Y97"/>
    </row>
    <row r="98" spans="1:25" s="8" customFormat="1" ht="26.25" x14ac:dyDescent="0.25">
      <c r="A98"/>
      <c r="B98" s="20" t="s">
        <v>17</v>
      </c>
      <c r="C98" s="21" t="s">
        <v>291</v>
      </c>
      <c r="D98" s="21" t="s">
        <v>292</v>
      </c>
      <c r="E98" s="35" t="s">
        <v>293</v>
      </c>
      <c r="F98" s="21" t="s">
        <v>294</v>
      </c>
      <c r="G98" s="60" t="s">
        <v>21</v>
      </c>
      <c r="H98" s="61" t="s">
        <v>245</v>
      </c>
      <c r="I98" s="22">
        <v>1</v>
      </c>
      <c r="J98" s="22">
        <v>2527990</v>
      </c>
      <c r="K98" s="22">
        <f t="shared" si="2"/>
        <v>2527990</v>
      </c>
      <c r="L98" s="22"/>
      <c r="M98" s="22"/>
      <c r="N98" s="22"/>
      <c r="O98" s="60" t="s">
        <v>52</v>
      </c>
      <c r="P98" s="34"/>
      <c r="Q98"/>
      <c r="R98"/>
      <c r="S98"/>
      <c r="T98"/>
      <c r="U98"/>
      <c r="V98"/>
      <c r="W98"/>
      <c r="X98"/>
      <c r="Y98"/>
    </row>
    <row r="99" spans="1:25" s="8" customFormat="1" ht="26.25" x14ac:dyDescent="0.25">
      <c r="A99"/>
      <c r="B99" s="20" t="s">
        <v>17</v>
      </c>
      <c r="C99" s="21" t="s">
        <v>295</v>
      </c>
      <c r="D99" s="21" t="s">
        <v>296</v>
      </c>
      <c r="E99" s="21" t="s">
        <v>297</v>
      </c>
      <c r="F99" s="21" t="s">
        <v>298</v>
      </c>
      <c r="G99" s="60" t="s">
        <v>72</v>
      </c>
      <c r="H99" s="61" t="s">
        <v>245</v>
      </c>
      <c r="I99" s="22">
        <v>1</v>
      </c>
      <c r="J99" s="22">
        <v>9800</v>
      </c>
      <c r="K99" s="22">
        <f t="shared" si="2"/>
        <v>9800</v>
      </c>
      <c r="L99" s="22"/>
      <c r="M99" s="22"/>
      <c r="N99" s="22"/>
      <c r="O99" s="60" t="s">
        <v>26</v>
      </c>
      <c r="P99" s="34"/>
      <c r="Q99"/>
      <c r="R99"/>
      <c r="S99"/>
      <c r="T99"/>
      <c r="U99"/>
      <c r="V99"/>
      <c r="W99"/>
      <c r="X99"/>
      <c r="Y99"/>
    </row>
    <row r="100" spans="1:25" s="8" customFormat="1" ht="26.25" x14ac:dyDescent="0.25">
      <c r="A100"/>
      <c r="B100" s="20" t="s">
        <v>17</v>
      </c>
      <c r="C100" s="21" t="s">
        <v>295</v>
      </c>
      <c r="D100" s="21" t="s">
        <v>296</v>
      </c>
      <c r="E100" s="21" t="s">
        <v>299</v>
      </c>
      <c r="F100" s="21" t="s">
        <v>300</v>
      </c>
      <c r="G100" s="60" t="s">
        <v>72</v>
      </c>
      <c r="H100" s="61" t="s">
        <v>245</v>
      </c>
      <c r="I100" s="22">
        <v>1</v>
      </c>
      <c r="J100" s="22">
        <v>9800</v>
      </c>
      <c r="K100" s="22">
        <f t="shared" si="2"/>
        <v>9800</v>
      </c>
      <c r="L100" s="22"/>
      <c r="M100" s="22"/>
      <c r="N100" s="22"/>
      <c r="O100" s="60" t="s">
        <v>26</v>
      </c>
      <c r="P100" s="34"/>
      <c r="Q100"/>
      <c r="R100"/>
      <c r="S100"/>
      <c r="T100"/>
      <c r="U100"/>
      <c r="V100"/>
      <c r="W100"/>
      <c r="X100"/>
      <c r="Y100"/>
    </row>
    <row r="101" spans="1:25" s="8" customFormat="1" ht="26.25" x14ac:dyDescent="0.25">
      <c r="A101"/>
      <c r="B101" s="20" t="s">
        <v>17</v>
      </c>
      <c r="C101" s="21" t="s">
        <v>301</v>
      </c>
      <c r="D101" s="21" t="s">
        <v>302</v>
      </c>
      <c r="E101" s="21" t="s">
        <v>303</v>
      </c>
      <c r="F101" s="21" t="s">
        <v>304</v>
      </c>
      <c r="G101" s="60" t="s">
        <v>72</v>
      </c>
      <c r="H101" s="61" t="s">
        <v>245</v>
      </c>
      <c r="I101" s="22">
        <v>1</v>
      </c>
      <c r="J101" s="22">
        <v>30000</v>
      </c>
      <c r="K101" s="22">
        <f t="shared" si="2"/>
        <v>30000</v>
      </c>
      <c r="L101" s="22"/>
      <c r="M101" s="22"/>
      <c r="N101" s="22"/>
      <c r="O101" s="60" t="s">
        <v>305</v>
      </c>
      <c r="P101" s="34"/>
      <c r="Q101"/>
      <c r="R101"/>
      <c r="S101"/>
      <c r="T101"/>
      <c r="U101"/>
      <c r="V101"/>
      <c r="W101"/>
      <c r="X101"/>
      <c r="Y101"/>
    </row>
    <row r="102" spans="1:25" s="8" customFormat="1" ht="39" x14ac:dyDescent="0.25">
      <c r="A102"/>
      <c r="B102" s="20" t="s">
        <v>17</v>
      </c>
      <c r="C102" s="21" t="s">
        <v>301</v>
      </c>
      <c r="D102" s="21" t="s">
        <v>302</v>
      </c>
      <c r="E102" s="21" t="s">
        <v>306</v>
      </c>
      <c r="F102" s="21" t="s">
        <v>307</v>
      </c>
      <c r="G102" s="60" t="s">
        <v>72</v>
      </c>
      <c r="H102" s="61" t="s">
        <v>245</v>
      </c>
      <c r="I102" s="22">
        <v>1</v>
      </c>
      <c r="J102" s="22">
        <v>56000</v>
      </c>
      <c r="K102" s="22">
        <f t="shared" si="2"/>
        <v>56000</v>
      </c>
      <c r="L102" s="22"/>
      <c r="M102" s="22"/>
      <c r="N102" s="22"/>
      <c r="O102" s="60" t="s">
        <v>305</v>
      </c>
      <c r="P102" s="34"/>
      <c r="Q102"/>
      <c r="R102"/>
      <c r="S102"/>
      <c r="T102"/>
      <c r="U102"/>
      <c r="V102"/>
      <c r="W102"/>
      <c r="X102"/>
      <c r="Y102"/>
    </row>
    <row r="103" spans="1:25" s="8" customFormat="1" ht="39" x14ac:dyDescent="0.25">
      <c r="A103"/>
      <c r="B103" s="20" t="s">
        <v>17</v>
      </c>
      <c r="C103" s="21" t="s">
        <v>301</v>
      </c>
      <c r="D103" s="21" t="s">
        <v>302</v>
      </c>
      <c r="E103" s="21" t="s">
        <v>308</v>
      </c>
      <c r="F103" s="21" t="s">
        <v>309</v>
      </c>
      <c r="G103" s="60" t="s">
        <v>72</v>
      </c>
      <c r="H103" s="61" t="s">
        <v>245</v>
      </c>
      <c r="I103" s="22">
        <v>1</v>
      </c>
      <c r="J103" s="22">
        <f>848214.29+376607.14+500000</f>
        <v>1724821.4300000002</v>
      </c>
      <c r="K103" s="22">
        <f t="shared" si="2"/>
        <v>1724821.4300000002</v>
      </c>
      <c r="L103" s="22"/>
      <c r="M103" s="22"/>
      <c r="N103" s="22"/>
      <c r="O103" s="64" t="s">
        <v>310</v>
      </c>
      <c r="P103" s="34"/>
      <c r="Q103"/>
      <c r="R103"/>
      <c r="S103"/>
      <c r="T103"/>
      <c r="U103"/>
      <c r="V103"/>
      <c r="W103"/>
      <c r="X103"/>
      <c r="Y103"/>
    </row>
    <row r="104" spans="1:25" s="8" customFormat="1" ht="26.25" x14ac:dyDescent="0.25">
      <c r="A104"/>
      <c r="B104" s="20" t="s">
        <v>17</v>
      </c>
      <c r="C104" s="21" t="s">
        <v>301</v>
      </c>
      <c r="D104" s="21" t="s">
        <v>302</v>
      </c>
      <c r="E104" s="21" t="s">
        <v>312</v>
      </c>
      <c r="F104" s="21" t="s">
        <v>313</v>
      </c>
      <c r="G104" s="60" t="s">
        <v>72</v>
      </c>
      <c r="H104" s="61" t="s">
        <v>245</v>
      </c>
      <c r="I104" s="22">
        <v>1</v>
      </c>
      <c r="J104" s="22">
        <v>329000</v>
      </c>
      <c r="K104" s="22">
        <f t="shared" ref="K104:K122" si="3">I104*J104</f>
        <v>329000</v>
      </c>
      <c r="L104" s="22"/>
      <c r="M104" s="22"/>
      <c r="N104" s="22"/>
      <c r="O104" s="64" t="s">
        <v>310</v>
      </c>
      <c r="P104" s="34"/>
      <c r="Q104"/>
      <c r="R104"/>
      <c r="S104"/>
      <c r="T104"/>
      <c r="U104"/>
      <c r="V104"/>
      <c r="W104"/>
      <c r="X104"/>
      <c r="Y104"/>
    </row>
    <row r="105" spans="1:25" s="8" customFormat="1" ht="26.25" x14ac:dyDescent="0.25">
      <c r="A105"/>
      <c r="B105" s="20" t="s">
        <v>17</v>
      </c>
      <c r="C105" s="21" t="s">
        <v>301</v>
      </c>
      <c r="D105" s="21" t="s">
        <v>302</v>
      </c>
      <c r="E105" s="21" t="s">
        <v>314</v>
      </c>
      <c r="F105" s="21" t="s">
        <v>315</v>
      </c>
      <c r="G105" s="60" t="s">
        <v>72</v>
      </c>
      <c r="H105" s="61" t="s">
        <v>245</v>
      </c>
      <c r="I105" s="22">
        <v>1</v>
      </c>
      <c r="J105" s="22">
        <v>360000</v>
      </c>
      <c r="K105" s="22">
        <f t="shared" si="3"/>
        <v>360000</v>
      </c>
      <c r="L105" s="22"/>
      <c r="M105" s="22"/>
      <c r="N105" s="22"/>
      <c r="O105" s="64" t="s">
        <v>311</v>
      </c>
      <c r="P105" s="34"/>
      <c r="Q105"/>
      <c r="R105"/>
      <c r="S105"/>
      <c r="T105"/>
      <c r="U105"/>
      <c r="V105"/>
      <c r="W105"/>
      <c r="X105"/>
      <c r="Y105"/>
    </row>
    <row r="106" spans="1:25" s="8" customFormat="1" ht="27.75" customHeight="1" x14ac:dyDescent="0.25">
      <c r="A106"/>
      <c r="B106" s="20" t="s">
        <v>17</v>
      </c>
      <c r="C106" s="21" t="s">
        <v>301</v>
      </c>
      <c r="D106" s="21" t="s">
        <v>302</v>
      </c>
      <c r="E106" s="21" t="s">
        <v>316</v>
      </c>
      <c r="F106" s="21" t="s">
        <v>317</v>
      </c>
      <c r="G106" s="60" t="s">
        <v>72</v>
      </c>
      <c r="H106" s="61" t="s">
        <v>245</v>
      </c>
      <c r="I106" s="22">
        <v>1</v>
      </c>
      <c r="J106" s="22">
        <v>700000</v>
      </c>
      <c r="K106" s="22">
        <f t="shared" si="3"/>
        <v>700000</v>
      </c>
      <c r="L106" s="22"/>
      <c r="M106" s="22"/>
      <c r="N106" s="22"/>
      <c r="O106" s="64" t="s">
        <v>311</v>
      </c>
      <c r="P106" s="34"/>
      <c r="Q106"/>
      <c r="R106"/>
      <c r="S106"/>
      <c r="T106"/>
      <c r="U106"/>
      <c r="V106"/>
      <c r="W106"/>
      <c r="X106"/>
      <c r="Y106"/>
    </row>
    <row r="107" spans="1:25" s="8" customFormat="1" ht="26.25" x14ac:dyDescent="0.25">
      <c r="A107"/>
      <c r="B107" s="20" t="s">
        <v>17</v>
      </c>
      <c r="C107" s="21" t="s">
        <v>301</v>
      </c>
      <c r="D107" s="21" t="s">
        <v>302</v>
      </c>
      <c r="E107" s="21" t="s">
        <v>318</v>
      </c>
      <c r="F107" s="21" t="s">
        <v>319</v>
      </c>
      <c r="G107" s="60" t="s">
        <v>72</v>
      </c>
      <c r="H107" s="61" t="s">
        <v>245</v>
      </c>
      <c r="I107" s="22">
        <v>1</v>
      </c>
      <c r="J107" s="22">
        <v>375000</v>
      </c>
      <c r="K107" s="22">
        <f t="shared" si="3"/>
        <v>375000</v>
      </c>
      <c r="L107" s="22"/>
      <c r="M107" s="22"/>
      <c r="N107" s="22"/>
      <c r="O107" s="64" t="s">
        <v>311</v>
      </c>
      <c r="P107" s="34"/>
      <c r="Q107"/>
      <c r="R107"/>
      <c r="S107"/>
      <c r="T107"/>
      <c r="U107"/>
      <c r="V107"/>
      <c r="W107"/>
      <c r="X107"/>
      <c r="Y107"/>
    </row>
    <row r="108" spans="1:25" s="8" customFormat="1" ht="51.75" x14ac:dyDescent="0.25">
      <c r="A108"/>
      <c r="B108" s="20" t="s">
        <v>17</v>
      </c>
      <c r="C108" s="21" t="s">
        <v>301</v>
      </c>
      <c r="D108" s="21" t="s">
        <v>302</v>
      </c>
      <c r="E108" s="21" t="s">
        <v>320</v>
      </c>
      <c r="F108" s="21" t="s">
        <v>321</v>
      </c>
      <c r="G108" s="60" t="s">
        <v>72</v>
      </c>
      <c r="H108" s="61" t="s">
        <v>245</v>
      </c>
      <c r="I108" s="22">
        <v>1</v>
      </c>
      <c r="J108" s="22">
        <v>4999999</v>
      </c>
      <c r="K108" s="22">
        <f t="shared" si="3"/>
        <v>4999999</v>
      </c>
      <c r="L108" s="22"/>
      <c r="M108" s="22"/>
      <c r="N108" s="22"/>
      <c r="O108" s="64" t="s">
        <v>311</v>
      </c>
      <c r="P108" s="34"/>
      <c r="Q108"/>
      <c r="R108"/>
      <c r="S108"/>
      <c r="T108"/>
      <c r="U108"/>
      <c r="V108"/>
      <c r="W108"/>
      <c r="X108"/>
      <c r="Y108"/>
    </row>
    <row r="109" spans="1:25" s="8" customFormat="1" ht="26.25" x14ac:dyDescent="0.25">
      <c r="A109"/>
      <c r="B109" s="20" t="s">
        <v>17</v>
      </c>
      <c r="C109" s="21" t="s">
        <v>301</v>
      </c>
      <c r="D109" s="21" t="s">
        <v>302</v>
      </c>
      <c r="E109" s="21" t="s">
        <v>322</v>
      </c>
      <c r="F109" s="21" t="s">
        <v>323</v>
      </c>
      <c r="G109" s="60" t="s">
        <v>72</v>
      </c>
      <c r="H109" s="61" t="s">
        <v>245</v>
      </c>
      <c r="I109" s="22">
        <v>1</v>
      </c>
      <c r="J109" s="22">
        <f>1900000</f>
        <v>1900000</v>
      </c>
      <c r="K109" s="22">
        <f t="shared" si="3"/>
        <v>1900000</v>
      </c>
      <c r="L109" s="22"/>
      <c r="M109" s="23"/>
      <c r="N109" s="22"/>
      <c r="O109" s="64" t="s">
        <v>310</v>
      </c>
      <c r="P109" s="34"/>
      <c r="Q109"/>
      <c r="R109"/>
      <c r="S109"/>
      <c r="T109"/>
      <c r="U109"/>
      <c r="V109"/>
      <c r="W109"/>
      <c r="X109"/>
      <c r="Y109"/>
    </row>
    <row r="110" spans="1:25" s="8" customFormat="1" ht="39" x14ac:dyDescent="0.25">
      <c r="A110"/>
      <c r="B110" s="20" t="s">
        <v>17</v>
      </c>
      <c r="C110" s="21" t="s">
        <v>301</v>
      </c>
      <c r="D110" s="21" t="s">
        <v>302</v>
      </c>
      <c r="E110" s="21" t="s">
        <v>324</v>
      </c>
      <c r="F110" s="21" t="s">
        <v>325</v>
      </c>
      <c r="G110" s="60" t="s">
        <v>21</v>
      </c>
      <c r="H110" s="61" t="s">
        <v>245</v>
      </c>
      <c r="I110" s="22">
        <v>1</v>
      </c>
      <c r="J110" s="22">
        <v>715000</v>
      </c>
      <c r="K110" s="22">
        <f t="shared" si="3"/>
        <v>715000</v>
      </c>
      <c r="L110" s="22"/>
      <c r="M110" s="23"/>
      <c r="N110" s="22"/>
      <c r="O110" s="64" t="s">
        <v>310</v>
      </c>
      <c r="P110" s="34"/>
      <c r="Q110"/>
      <c r="R110"/>
      <c r="S110"/>
      <c r="T110"/>
      <c r="U110"/>
      <c r="V110"/>
      <c r="W110"/>
      <c r="X110"/>
      <c r="Y110"/>
    </row>
    <row r="111" spans="1:25" s="8" customFormat="1" ht="26.25" x14ac:dyDescent="0.25">
      <c r="A111"/>
      <c r="B111" s="20" t="s">
        <v>17</v>
      </c>
      <c r="C111" s="21" t="s">
        <v>301</v>
      </c>
      <c r="D111" s="21" t="s">
        <v>302</v>
      </c>
      <c r="E111" s="21" t="s">
        <v>326</v>
      </c>
      <c r="F111" s="21" t="s">
        <v>327</v>
      </c>
      <c r="G111" s="60" t="s">
        <v>21</v>
      </c>
      <c r="H111" s="61" t="s">
        <v>245</v>
      </c>
      <c r="I111" s="22">
        <v>1</v>
      </c>
      <c r="J111" s="22">
        <v>255000</v>
      </c>
      <c r="K111" s="22">
        <f t="shared" si="3"/>
        <v>255000</v>
      </c>
      <c r="L111" s="22"/>
      <c r="M111" s="23"/>
      <c r="N111" s="22"/>
      <c r="O111" s="64" t="s">
        <v>310</v>
      </c>
      <c r="P111" s="34"/>
      <c r="Q111"/>
      <c r="R111"/>
      <c r="S111"/>
      <c r="T111"/>
      <c r="U111"/>
      <c r="V111"/>
      <c r="W111"/>
      <c r="X111"/>
      <c r="Y111"/>
    </row>
    <row r="112" spans="1:25" s="8" customFormat="1" ht="31.5" customHeight="1" x14ac:dyDescent="0.25">
      <c r="A112"/>
      <c r="B112" s="20" t="s">
        <v>17</v>
      </c>
      <c r="C112" s="21" t="s">
        <v>301</v>
      </c>
      <c r="D112" s="21" t="s">
        <v>302</v>
      </c>
      <c r="E112" s="21" t="s">
        <v>328</v>
      </c>
      <c r="F112" s="21" t="s">
        <v>329</v>
      </c>
      <c r="G112" s="60" t="s">
        <v>72</v>
      </c>
      <c r="H112" s="61" t="s">
        <v>245</v>
      </c>
      <c r="I112" s="22">
        <v>1</v>
      </c>
      <c r="J112" s="22">
        <f>138000</f>
        <v>138000</v>
      </c>
      <c r="K112" s="22">
        <f t="shared" si="3"/>
        <v>138000</v>
      </c>
      <c r="L112" s="22"/>
      <c r="M112" s="23"/>
      <c r="N112" s="22"/>
      <c r="O112" s="64" t="s">
        <v>311</v>
      </c>
      <c r="P112" s="34"/>
      <c r="Q112"/>
      <c r="R112"/>
      <c r="S112"/>
      <c r="T112"/>
      <c r="U112"/>
      <c r="V112"/>
      <c r="W112"/>
      <c r="X112"/>
      <c r="Y112"/>
    </row>
    <row r="113" spans="1:25" s="8" customFormat="1" ht="26.25" x14ac:dyDescent="0.25">
      <c r="A113"/>
      <c r="B113" s="20" t="s">
        <v>17</v>
      </c>
      <c r="C113" s="21" t="s">
        <v>330</v>
      </c>
      <c r="D113" s="21" t="s">
        <v>331</v>
      </c>
      <c r="E113" s="21" t="s">
        <v>332</v>
      </c>
      <c r="F113" s="21" t="s">
        <v>333</v>
      </c>
      <c r="G113" s="60" t="s">
        <v>72</v>
      </c>
      <c r="H113" s="61" t="s">
        <v>245</v>
      </c>
      <c r="I113" s="22">
        <v>1</v>
      </c>
      <c r="J113" s="22">
        <v>2127336.4500000002</v>
      </c>
      <c r="K113" s="22">
        <f t="shared" si="3"/>
        <v>2127336.4500000002</v>
      </c>
      <c r="L113" s="22"/>
      <c r="M113" s="22"/>
      <c r="N113" s="22"/>
      <c r="O113" s="64" t="s">
        <v>26</v>
      </c>
      <c r="P113" s="34"/>
      <c r="Q113"/>
      <c r="R113"/>
      <c r="S113"/>
      <c r="T113"/>
      <c r="U113"/>
      <c r="V113"/>
      <c r="W113"/>
      <c r="X113"/>
      <c r="Y113"/>
    </row>
    <row r="114" spans="1:25" s="8" customFormat="1" ht="39" x14ac:dyDescent="0.25">
      <c r="A114"/>
      <c r="B114" s="20" t="s">
        <v>17</v>
      </c>
      <c r="C114" s="21" t="s">
        <v>334</v>
      </c>
      <c r="D114" s="21" t="s">
        <v>335</v>
      </c>
      <c r="E114" s="21" t="s">
        <v>336</v>
      </c>
      <c r="F114" s="21" t="s">
        <v>337</v>
      </c>
      <c r="G114" s="60" t="s">
        <v>72</v>
      </c>
      <c r="H114" s="61" t="s">
        <v>245</v>
      </c>
      <c r="I114" s="22">
        <v>1</v>
      </c>
      <c r="J114" s="22">
        <f>1336575-1281540.1</f>
        <v>55034.899999999907</v>
      </c>
      <c r="K114" s="22">
        <f t="shared" si="3"/>
        <v>55034.899999999907</v>
      </c>
      <c r="L114" s="22"/>
      <c r="M114" s="22"/>
      <c r="N114" s="22"/>
      <c r="O114" s="64" t="s">
        <v>26</v>
      </c>
      <c r="P114" s="24"/>
      <c r="Q114"/>
      <c r="R114"/>
      <c r="S114"/>
      <c r="T114"/>
      <c r="U114"/>
      <c r="V114"/>
      <c r="W114"/>
      <c r="X114"/>
      <c r="Y114"/>
    </row>
    <row r="115" spans="1:25" s="8" customFormat="1" ht="39" x14ac:dyDescent="0.25">
      <c r="A115"/>
      <c r="B115" s="20" t="s">
        <v>17</v>
      </c>
      <c r="C115" s="21" t="s">
        <v>334</v>
      </c>
      <c r="D115" s="21" t="s">
        <v>335</v>
      </c>
      <c r="E115" s="21" t="s">
        <v>336</v>
      </c>
      <c r="F115" s="21" t="s">
        <v>337</v>
      </c>
      <c r="G115" s="60" t="s">
        <v>72</v>
      </c>
      <c r="H115" s="61" t="s">
        <v>245</v>
      </c>
      <c r="I115" s="22">
        <v>1</v>
      </c>
      <c r="J115" s="22">
        <v>1281540.1000000001</v>
      </c>
      <c r="K115" s="22">
        <f>I115*J115</f>
        <v>1281540.1000000001</v>
      </c>
      <c r="L115" s="22"/>
      <c r="M115" s="22"/>
      <c r="N115" s="22"/>
      <c r="O115" s="64" t="s">
        <v>52</v>
      </c>
      <c r="P115" s="24"/>
      <c r="Q115"/>
      <c r="R115"/>
      <c r="S115"/>
      <c r="T115"/>
      <c r="U115"/>
      <c r="V115"/>
      <c r="W115"/>
      <c r="X115"/>
      <c r="Y115"/>
    </row>
    <row r="116" spans="1:25" s="8" customFormat="1" ht="39" x14ac:dyDescent="0.25">
      <c r="A116"/>
      <c r="B116" s="20" t="s">
        <v>17</v>
      </c>
      <c r="C116" s="21" t="s">
        <v>338</v>
      </c>
      <c r="D116" s="21" t="s">
        <v>339</v>
      </c>
      <c r="E116" s="21" t="s">
        <v>340</v>
      </c>
      <c r="F116" s="21" t="s">
        <v>341</v>
      </c>
      <c r="G116" s="60" t="s">
        <v>246</v>
      </c>
      <c r="H116" s="61" t="s">
        <v>245</v>
      </c>
      <c r="I116" s="22">
        <v>1</v>
      </c>
      <c r="J116" s="22">
        <v>17822161.66</v>
      </c>
      <c r="K116" s="22">
        <f t="shared" si="3"/>
        <v>17822161.66</v>
      </c>
      <c r="L116" s="22"/>
      <c r="M116" s="22"/>
      <c r="N116" s="22"/>
      <c r="O116" s="64" t="s">
        <v>26</v>
      </c>
      <c r="P116" s="24"/>
      <c r="Q116"/>
      <c r="R116"/>
      <c r="S116"/>
      <c r="T116"/>
      <c r="U116"/>
      <c r="V116"/>
      <c r="W116"/>
      <c r="X116"/>
      <c r="Y116"/>
    </row>
    <row r="117" spans="1:25" s="8" customFormat="1" ht="26.25" x14ac:dyDescent="0.25">
      <c r="A117"/>
      <c r="B117" s="20" t="s">
        <v>17</v>
      </c>
      <c r="C117" s="21" t="s">
        <v>338</v>
      </c>
      <c r="D117" s="21" t="s">
        <v>339</v>
      </c>
      <c r="E117" s="21" t="s">
        <v>340</v>
      </c>
      <c r="F117" s="21" t="s">
        <v>341</v>
      </c>
      <c r="G117" s="60" t="s">
        <v>255</v>
      </c>
      <c r="H117" s="61" t="s">
        <v>245</v>
      </c>
      <c r="I117" s="22">
        <v>1</v>
      </c>
      <c r="J117" s="22">
        <f>10977838.34+12272383.66</f>
        <v>23250222</v>
      </c>
      <c r="K117" s="22">
        <f t="shared" si="3"/>
        <v>23250222</v>
      </c>
      <c r="L117" s="22"/>
      <c r="M117" s="22"/>
      <c r="N117" s="22"/>
      <c r="O117" s="60" t="s">
        <v>26</v>
      </c>
      <c r="P117" s="24"/>
      <c r="Q117"/>
      <c r="R117"/>
      <c r="S117"/>
      <c r="T117"/>
      <c r="U117"/>
      <c r="V117"/>
      <c r="W117"/>
      <c r="X117"/>
      <c r="Y117"/>
    </row>
    <row r="118" spans="1:25" s="8" customFormat="1" ht="33.75" customHeight="1" x14ac:dyDescent="0.25">
      <c r="A118"/>
      <c r="B118" s="20" t="s">
        <v>17</v>
      </c>
      <c r="C118" s="21" t="s">
        <v>338</v>
      </c>
      <c r="D118" s="21" t="s">
        <v>339</v>
      </c>
      <c r="E118" s="21" t="s">
        <v>342</v>
      </c>
      <c r="F118" s="21" t="s">
        <v>343</v>
      </c>
      <c r="G118" s="60" t="s">
        <v>255</v>
      </c>
      <c r="H118" s="61" t="s">
        <v>245</v>
      </c>
      <c r="I118" s="22">
        <v>1</v>
      </c>
      <c r="J118" s="22">
        <f>28800000-4800000-8903391</f>
        <v>15096609</v>
      </c>
      <c r="K118" s="22">
        <f t="shared" si="3"/>
        <v>15096609</v>
      </c>
      <c r="L118" s="22"/>
      <c r="M118" s="22"/>
      <c r="N118" s="22"/>
      <c r="O118" s="60" t="s">
        <v>344</v>
      </c>
      <c r="P118" s="24"/>
      <c r="Q118"/>
      <c r="R118"/>
      <c r="S118"/>
      <c r="T118"/>
      <c r="U118"/>
      <c r="V118"/>
      <c r="W118"/>
      <c r="X118"/>
      <c r="Y118"/>
    </row>
    <row r="119" spans="1:25" s="8" customFormat="1" ht="26.25" x14ac:dyDescent="0.25">
      <c r="A119"/>
      <c r="B119" s="20" t="s">
        <v>17</v>
      </c>
      <c r="C119" s="21" t="s">
        <v>338</v>
      </c>
      <c r="D119" s="21" t="s">
        <v>339</v>
      </c>
      <c r="E119" s="21" t="s">
        <v>345</v>
      </c>
      <c r="F119" s="21" t="s">
        <v>346</v>
      </c>
      <c r="G119" s="60" t="s">
        <v>72</v>
      </c>
      <c r="H119" s="61" t="s">
        <v>245</v>
      </c>
      <c r="I119" s="22">
        <v>1</v>
      </c>
      <c r="J119" s="22">
        <v>780000</v>
      </c>
      <c r="K119" s="22">
        <f t="shared" si="3"/>
        <v>780000</v>
      </c>
      <c r="L119" s="22"/>
      <c r="M119" s="22"/>
      <c r="N119" s="22"/>
      <c r="O119" s="60" t="s">
        <v>344</v>
      </c>
      <c r="P119" s="24"/>
      <c r="Q119"/>
      <c r="R119"/>
      <c r="S119"/>
      <c r="T119"/>
      <c r="U119"/>
      <c r="V119"/>
      <c r="W119"/>
      <c r="X119"/>
      <c r="Y119"/>
    </row>
    <row r="120" spans="1:25" s="8" customFormat="1" ht="39" x14ac:dyDescent="0.25">
      <c r="A120"/>
      <c r="B120" s="20" t="s">
        <v>17</v>
      </c>
      <c r="C120" s="21" t="s">
        <v>338</v>
      </c>
      <c r="D120" s="21" t="s">
        <v>339</v>
      </c>
      <c r="E120" s="21" t="s">
        <v>347</v>
      </c>
      <c r="F120" s="21" t="s">
        <v>348</v>
      </c>
      <c r="G120" s="60" t="s">
        <v>246</v>
      </c>
      <c r="H120" s="61" t="s">
        <v>245</v>
      </c>
      <c r="I120" s="22">
        <v>1</v>
      </c>
      <c r="J120" s="22">
        <f>431199.99+318500.01</f>
        <v>749700</v>
      </c>
      <c r="K120" s="22">
        <f t="shared" si="3"/>
        <v>749700</v>
      </c>
      <c r="L120" s="22"/>
      <c r="M120" s="22"/>
      <c r="N120" s="22"/>
      <c r="O120" s="60" t="s">
        <v>344</v>
      </c>
      <c r="P120" s="24"/>
      <c r="Q120"/>
      <c r="R120"/>
      <c r="S120"/>
      <c r="T120"/>
      <c r="U120"/>
      <c r="V120"/>
      <c r="W120"/>
      <c r="X120"/>
      <c r="Y120"/>
    </row>
    <row r="121" spans="1:25" s="8" customFormat="1" ht="26.25" x14ac:dyDescent="0.25">
      <c r="A121"/>
      <c r="B121" s="20" t="s">
        <v>17</v>
      </c>
      <c r="C121" s="21" t="s">
        <v>338</v>
      </c>
      <c r="D121" s="21" t="s">
        <v>339</v>
      </c>
      <c r="E121" s="21" t="s">
        <v>349</v>
      </c>
      <c r="F121" s="21" t="s">
        <v>350</v>
      </c>
      <c r="G121" s="60" t="s">
        <v>72</v>
      </c>
      <c r="H121" s="61" t="s">
        <v>245</v>
      </c>
      <c r="I121" s="22">
        <v>1</v>
      </c>
      <c r="J121" s="22">
        <f>7237500-449800-249900-6391.05</f>
        <v>6531408.9500000002</v>
      </c>
      <c r="K121" s="22">
        <f>I121*J121</f>
        <v>6531408.9500000002</v>
      </c>
      <c r="L121" s="22"/>
      <c r="M121" s="22"/>
      <c r="N121" s="22"/>
      <c r="O121" s="64" t="s">
        <v>52</v>
      </c>
      <c r="P121" s="24"/>
      <c r="Q121"/>
      <c r="R121"/>
      <c r="S121"/>
      <c r="T121"/>
      <c r="U121"/>
      <c r="V121"/>
      <c r="W121"/>
      <c r="X121"/>
      <c r="Y121"/>
    </row>
    <row r="122" spans="1:25" s="8" customFormat="1" ht="26.25" x14ac:dyDescent="0.25">
      <c r="A122"/>
      <c r="B122" s="20" t="s">
        <v>17</v>
      </c>
      <c r="C122" s="21" t="s">
        <v>338</v>
      </c>
      <c r="D122" s="21" t="s">
        <v>339</v>
      </c>
      <c r="E122" s="21" t="s">
        <v>347</v>
      </c>
      <c r="F122" s="21" t="s">
        <v>348</v>
      </c>
      <c r="G122" s="60" t="s">
        <v>72</v>
      </c>
      <c r="H122" s="61" t="s">
        <v>245</v>
      </c>
      <c r="I122" s="22">
        <v>1</v>
      </c>
      <c r="J122" s="22">
        <f>7237500-6787700</f>
        <v>449800</v>
      </c>
      <c r="K122" s="22">
        <f t="shared" si="3"/>
        <v>449800</v>
      </c>
      <c r="L122" s="22"/>
      <c r="M122" s="22"/>
      <c r="N122" s="22"/>
      <c r="O122" s="64" t="s">
        <v>52</v>
      </c>
      <c r="P122" s="24"/>
      <c r="Q122"/>
      <c r="R122"/>
      <c r="S122"/>
      <c r="T122"/>
      <c r="U122"/>
      <c r="V122"/>
      <c r="W122"/>
      <c r="X122"/>
      <c r="Y122"/>
    </row>
    <row r="123" spans="1:25" s="8" customFormat="1" ht="28.5" customHeight="1" x14ac:dyDescent="0.25">
      <c r="A123"/>
      <c r="B123" s="20" t="s">
        <v>17</v>
      </c>
      <c r="C123" s="21" t="s">
        <v>338</v>
      </c>
      <c r="D123" s="21" t="s">
        <v>339</v>
      </c>
      <c r="E123" s="21" t="s">
        <v>347</v>
      </c>
      <c r="F123" s="21" t="s">
        <v>348</v>
      </c>
      <c r="G123" s="60" t="s">
        <v>72</v>
      </c>
      <c r="H123" s="61" t="s">
        <v>245</v>
      </c>
      <c r="I123" s="22">
        <v>1</v>
      </c>
      <c r="J123" s="22">
        <f>7237500-6987600</f>
        <v>249900</v>
      </c>
      <c r="K123" s="22">
        <f>I123*J123</f>
        <v>249900</v>
      </c>
      <c r="L123" s="22"/>
      <c r="M123" s="22"/>
      <c r="N123" s="22"/>
      <c r="O123" s="64" t="s">
        <v>52</v>
      </c>
      <c r="P123" s="24"/>
      <c r="Q123"/>
      <c r="R123"/>
      <c r="S123"/>
      <c r="T123"/>
      <c r="U123"/>
      <c r="V123"/>
      <c r="W123"/>
      <c r="X123"/>
      <c r="Y123"/>
    </row>
    <row r="124" spans="1:25" s="8" customFormat="1" ht="39" x14ac:dyDescent="0.25">
      <c r="A124"/>
      <c r="B124" s="20" t="s">
        <v>17</v>
      </c>
      <c r="C124" s="21" t="s">
        <v>338</v>
      </c>
      <c r="D124" s="21" t="s">
        <v>339</v>
      </c>
      <c r="E124" s="21" t="s">
        <v>351</v>
      </c>
      <c r="F124" s="21" t="s">
        <v>352</v>
      </c>
      <c r="G124" s="60" t="s">
        <v>246</v>
      </c>
      <c r="H124" s="61" t="s">
        <v>245</v>
      </c>
      <c r="I124" s="22">
        <v>1</v>
      </c>
      <c r="J124" s="22">
        <v>63333.32</v>
      </c>
      <c r="K124" s="22">
        <v>63333.32</v>
      </c>
      <c r="L124" s="22"/>
      <c r="M124" s="22"/>
      <c r="N124" s="22"/>
      <c r="O124" s="64" t="s">
        <v>26</v>
      </c>
      <c r="P124" s="24"/>
      <c r="Q124"/>
      <c r="R124"/>
      <c r="S124"/>
      <c r="T124"/>
      <c r="U124"/>
      <c r="V124"/>
      <c r="W124"/>
      <c r="X124"/>
      <c r="Y124"/>
    </row>
    <row r="125" spans="1:25" s="8" customFormat="1" ht="26.25" x14ac:dyDescent="0.25">
      <c r="A125"/>
      <c r="B125" s="20" t="s">
        <v>17</v>
      </c>
      <c r="C125" s="21" t="s">
        <v>338</v>
      </c>
      <c r="D125" s="21" t="s">
        <v>339</v>
      </c>
      <c r="E125" s="21" t="s">
        <v>351</v>
      </c>
      <c r="F125" s="21" t="s">
        <v>352</v>
      </c>
      <c r="G125" s="60" t="s">
        <v>72</v>
      </c>
      <c r="H125" s="61" t="s">
        <v>245</v>
      </c>
      <c r="I125" s="22">
        <v>1</v>
      </c>
      <c r="J125" s="22">
        <f>190000-J124-7600+81826.18</f>
        <v>200892.86</v>
      </c>
      <c r="K125" s="22">
        <f t="shared" ref="K125:K134" si="4">I125*J125</f>
        <v>200892.86</v>
      </c>
      <c r="L125" s="22"/>
      <c r="M125" s="22"/>
      <c r="N125" s="22"/>
      <c r="O125" s="64" t="s">
        <v>52</v>
      </c>
      <c r="P125" s="24"/>
      <c r="Q125"/>
      <c r="R125"/>
      <c r="S125"/>
      <c r="T125"/>
      <c r="U125"/>
      <c r="V125"/>
      <c r="W125"/>
      <c r="X125"/>
      <c r="Y125"/>
    </row>
    <row r="126" spans="1:25" s="8" customFormat="1" ht="26.25" x14ac:dyDescent="0.25">
      <c r="A126"/>
      <c r="B126" s="20" t="s">
        <v>17</v>
      </c>
      <c r="C126" s="21" t="s">
        <v>353</v>
      </c>
      <c r="D126" s="21" t="s">
        <v>354</v>
      </c>
      <c r="E126" s="21" t="s">
        <v>355</v>
      </c>
      <c r="F126" s="21" t="s">
        <v>356</v>
      </c>
      <c r="G126" s="60" t="s">
        <v>21</v>
      </c>
      <c r="H126" s="61" t="s">
        <v>245</v>
      </c>
      <c r="I126" s="22">
        <v>1</v>
      </c>
      <c r="J126" s="22">
        <v>11860</v>
      </c>
      <c r="K126" s="22">
        <f t="shared" si="4"/>
        <v>11860</v>
      </c>
      <c r="L126" s="22"/>
      <c r="M126" s="22"/>
      <c r="N126" s="22"/>
      <c r="O126" s="64" t="s">
        <v>78</v>
      </c>
      <c r="P126" s="24"/>
      <c r="Q126"/>
      <c r="R126"/>
      <c r="S126"/>
      <c r="T126"/>
      <c r="U126"/>
      <c r="V126"/>
      <c r="W126"/>
      <c r="X126"/>
      <c r="Y126"/>
    </row>
    <row r="127" spans="1:25" s="8" customFormat="1" ht="39" x14ac:dyDescent="0.25">
      <c r="A127"/>
      <c r="B127" s="20" t="s">
        <v>17</v>
      </c>
      <c r="C127" s="21" t="s">
        <v>357</v>
      </c>
      <c r="D127" s="21" t="s">
        <v>358</v>
      </c>
      <c r="E127" s="21" t="s">
        <v>359</v>
      </c>
      <c r="F127" s="21" t="s">
        <v>360</v>
      </c>
      <c r="G127" s="60" t="s">
        <v>246</v>
      </c>
      <c r="H127" s="61" t="s">
        <v>245</v>
      </c>
      <c r="I127" s="22">
        <v>1</v>
      </c>
      <c r="J127" s="22">
        <v>3420000</v>
      </c>
      <c r="K127" s="22">
        <f t="shared" si="4"/>
        <v>3420000</v>
      </c>
      <c r="L127" s="22"/>
      <c r="M127" s="22"/>
      <c r="N127" s="22"/>
      <c r="O127" s="64" t="s">
        <v>26</v>
      </c>
      <c r="P127" s="24"/>
      <c r="Q127"/>
      <c r="R127"/>
      <c r="S127"/>
      <c r="T127"/>
      <c r="U127"/>
      <c r="V127"/>
      <c r="W127"/>
      <c r="X127"/>
      <c r="Y127"/>
    </row>
    <row r="128" spans="1:25" s="8" customFormat="1" ht="26.25" x14ac:dyDescent="0.25">
      <c r="A128"/>
      <c r="B128" s="20" t="s">
        <v>17</v>
      </c>
      <c r="C128" s="21" t="s">
        <v>357</v>
      </c>
      <c r="D128" s="21" t="s">
        <v>358</v>
      </c>
      <c r="E128" s="21" t="s">
        <v>361</v>
      </c>
      <c r="F128" s="21" t="s">
        <v>362</v>
      </c>
      <c r="G128" s="60" t="s">
        <v>72</v>
      </c>
      <c r="H128" s="61" t="s">
        <v>245</v>
      </c>
      <c r="I128" s="22">
        <v>1</v>
      </c>
      <c r="J128" s="22">
        <f>22650000-3461409.67-780000-6612014.33</f>
        <v>11796575.999999998</v>
      </c>
      <c r="K128" s="22">
        <f t="shared" si="4"/>
        <v>11796575.999999998</v>
      </c>
      <c r="L128" s="22"/>
      <c r="M128" s="22"/>
      <c r="N128" s="22"/>
      <c r="O128" s="64" t="s">
        <v>78</v>
      </c>
      <c r="P128" s="24"/>
      <c r="Q128"/>
      <c r="R128"/>
      <c r="S128"/>
      <c r="T128"/>
      <c r="U128"/>
      <c r="V128"/>
      <c r="W128"/>
      <c r="X128"/>
      <c r="Y128"/>
    </row>
    <row r="129" spans="1:25" s="8" customFormat="1" ht="26.25" x14ac:dyDescent="0.25">
      <c r="A129"/>
      <c r="B129" s="20" t="s">
        <v>17</v>
      </c>
      <c r="C129" s="21" t="s">
        <v>357</v>
      </c>
      <c r="D129" s="21" t="s">
        <v>358</v>
      </c>
      <c r="E129" s="21" t="s">
        <v>363</v>
      </c>
      <c r="F129" s="21" t="s">
        <v>364</v>
      </c>
      <c r="G129" s="60" t="s">
        <v>255</v>
      </c>
      <c r="H129" s="61" t="s">
        <v>245</v>
      </c>
      <c r="I129" s="22">
        <v>1</v>
      </c>
      <c r="J129" s="22">
        <f>30200000-15200000-12945185.22</f>
        <v>2054814.7799999993</v>
      </c>
      <c r="K129" s="22">
        <f t="shared" si="4"/>
        <v>2054814.7799999993</v>
      </c>
      <c r="L129" s="22"/>
      <c r="M129" s="22"/>
      <c r="N129" s="22"/>
      <c r="O129" s="64" t="s">
        <v>26</v>
      </c>
      <c r="P129" s="24"/>
      <c r="Q129"/>
      <c r="R129"/>
      <c r="S129"/>
      <c r="T129"/>
      <c r="U129"/>
      <c r="V129"/>
      <c r="W129"/>
      <c r="X129"/>
      <c r="Y129"/>
    </row>
    <row r="130" spans="1:25" s="8" customFormat="1" ht="26.25" x14ac:dyDescent="0.25">
      <c r="A130"/>
      <c r="B130" s="20" t="s">
        <v>17</v>
      </c>
      <c r="C130" s="21" t="s">
        <v>357</v>
      </c>
      <c r="D130" s="21" t="s">
        <v>358</v>
      </c>
      <c r="E130" s="21" t="s">
        <v>365</v>
      </c>
      <c r="F130" s="21" t="s">
        <v>366</v>
      </c>
      <c r="G130" s="60" t="s">
        <v>255</v>
      </c>
      <c r="H130" s="61" t="s">
        <v>245</v>
      </c>
      <c r="I130" s="22">
        <v>1</v>
      </c>
      <c r="J130" s="22">
        <v>11796576</v>
      </c>
      <c r="K130" s="22">
        <f>I130*J130</f>
        <v>11796576</v>
      </c>
      <c r="L130" s="22"/>
      <c r="M130" s="22"/>
      <c r="N130" s="22"/>
      <c r="O130" s="64" t="s">
        <v>23</v>
      </c>
      <c r="P130" s="24"/>
      <c r="Q130"/>
      <c r="R130"/>
      <c r="S130"/>
      <c r="T130"/>
      <c r="U130"/>
      <c r="V130"/>
      <c r="W130"/>
      <c r="X130"/>
      <c r="Y130"/>
    </row>
    <row r="131" spans="1:25" s="8" customFormat="1" ht="26.25" x14ac:dyDescent="0.25">
      <c r="A131"/>
      <c r="B131" s="20" t="s">
        <v>17</v>
      </c>
      <c r="C131" s="21" t="s">
        <v>367</v>
      </c>
      <c r="D131" s="21" t="s">
        <v>368</v>
      </c>
      <c r="E131" s="21" t="s">
        <v>369</v>
      </c>
      <c r="F131" s="21" t="s">
        <v>370</v>
      </c>
      <c r="G131" s="60" t="s">
        <v>72</v>
      </c>
      <c r="H131" s="61" t="s">
        <v>245</v>
      </c>
      <c r="I131" s="22">
        <v>1</v>
      </c>
      <c r="J131" s="22">
        <v>3328788.9999999995</v>
      </c>
      <c r="K131" s="22">
        <f t="shared" si="4"/>
        <v>3328788.9999999995</v>
      </c>
      <c r="L131" s="22"/>
      <c r="M131" s="22"/>
      <c r="N131" s="22"/>
      <c r="O131" s="64" t="s">
        <v>26</v>
      </c>
      <c r="P131" s="24"/>
      <c r="Q131"/>
      <c r="R131"/>
      <c r="S131"/>
      <c r="T131"/>
      <c r="U131"/>
      <c r="V131"/>
      <c r="W131"/>
      <c r="X131"/>
      <c r="Y131"/>
    </row>
    <row r="132" spans="1:25" s="8" customFormat="1" ht="26.25" x14ac:dyDescent="0.25">
      <c r="A132"/>
      <c r="B132" s="20" t="s">
        <v>17</v>
      </c>
      <c r="C132" s="21" t="s">
        <v>367</v>
      </c>
      <c r="D132" s="21" t="s">
        <v>368</v>
      </c>
      <c r="E132" s="21" t="s">
        <v>371</v>
      </c>
      <c r="F132" s="21" t="s">
        <v>372</v>
      </c>
      <c r="G132" s="60" t="s">
        <v>72</v>
      </c>
      <c r="H132" s="61" t="s">
        <v>245</v>
      </c>
      <c r="I132" s="22">
        <v>1</v>
      </c>
      <c r="J132" s="22">
        <f>516718+115425</f>
        <v>632143</v>
      </c>
      <c r="K132" s="22">
        <f>I132*J132</f>
        <v>632143</v>
      </c>
      <c r="L132" s="22"/>
      <c r="M132" s="22"/>
      <c r="N132" s="22"/>
      <c r="O132" s="64" t="s">
        <v>52</v>
      </c>
      <c r="P132" s="24"/>
      <c r="Q132"/>
      <c r="R132"/>
      <c r="S132"/>
      <c r="T132"/>
      <c r="U132"/>
      <c r="V132"/>
      <c r="W132"/>
      <c r="X132"/>
      <c r="Y132"/>
    </row>
    <row r="133" spans="1:25" s="8" customFormat="1" ht="45" customHeight="1" x14ac:dyDescent="0.25">
      <c r="A133"/>
      <c r="B133" s="20" t="s">
        <v>17</v>
      </c>
      <c r="C133" s="21" t="s">
        <v>357</v>
      </c>
      <c r="D133" s="21" t="s">
        <v>358</v>
      </c>
      <c r="E133" s="21" t="s">
        <v>373</v>
      </c>
      <c r="F133" s="21" t="s">
        <v>374</v>
      </c>
      <c r="G133" s="60" t="s">
        <v>246</v>
      </c>
      <c r="H133" s="61" t="s">
        <v>245</v>
      </c>
      <c r="I133" s="22">
        <v>1</v>
      </c>
      <c r="J133" s="22">
        <v>9000000</v>
      </c>
      <c r="K133" s="22">
        <f>I133*J133</f>
        <v>9000000</v>
      </c>
      <c r="L133" s="22"/>
      <c r="M133" s="22"/>
      <c r="N133" s="22"/>
      <c r="O133" s="64" t="s">
        <v>26</v>
      </c>
      <c r="P133" s="24"/>
      <c r="Q133"/>
      <c r="R133"/>
      <c r="S133"/>
      <c r="T133"/>
      <c r="U133"/>
      <c r="V133"/>
      <c r="W133"/>
      <c r="X133"/>
      <c r="Y133"/>
    </row>
    <row r="134" spans="1:25" s="8" customFormat="1" ht="26.25" x14ac:dyDescent="0.25">
      <c r="A134"/>
      <c r="B134" s="20" t="s">
        <v>17</v>
      </c>
      <c r="C134" s="21" t="s">
        <v>357</v>
      </c>
      <c r="D134" s="21" t="s">
        <v>358</v>
      </c>
      <c r="E134" s="21" t="s">
        <v>373</v>
      </c>
      <c r="F134" s="21" t="s">
        <v>374</v>
      </c>
      <c r="G134" s="60" t="s">
        <v>255</v>
      </c>
      <c r="H134" s="61" t="s">
        <v>245</v>
      </c>
      <c r="I134" s="22">
        <v>1</v>
      </c>
      <c r="J134" s="22">
        <f>61474866.96-7863706.25-202539.68</f>
        <v>53408621.030000001</v>
      </c>
      <c r="K134" s="22">
        <f t="shared" si="4"/>
        <v>53408621.030000001</v>
      </c>
      <c r="L134" s="22"/>
      <c r="M134" s="22"/>
      <c r="N134" s="22"/>
      <c r="O134" s="64" t="s">
        <v>26</v>
      </c>
      <c r="P134" s="24"/>
      <c r="Q134"/>
      <c r="R134"/>
      <c r="S134"/>
      <c r="T134"/>
      <c r="U134"/>
      <c r="V134"/>
      <c r="W134"/>
      <c r="X134"/>
      <c r="Y134"/>
    </row>
    <row r="135" spans="1:25" s="8" customFormat="1" ht="39" customHeight="1" x14ac:dyDescent="0.25">
      <c r="A135"/>
      <c r="B135" s="20" t="s">
        <v>17</v>
      </c>
      <c r="C135" s="21" t="s">
        <v>375</v>
      </c>
      <c r="D135" s="21" t="s">
        <v>376</v>
      </c>
      <c r="E135" s="21" t="s">
        <v>377</v>
      </c>
      <c r="F135" s="21" t="s">
        <v>378</v>
      </c>
      <c r="G135" s="60" t="s">
        <v>21</v>
      </c>
      <c r="H135" s="61" t="s">
        <v>245</v>
      </c>
      <c r="I135" s="22">
        <v>1</v>
      </c>
      <c r="J135" s="22">
        <f>428571.45-180000.45</f>
        <v>248571</v>
      </c>
      <c r="K135" s="22">
        <f>I135*J135</f>
        <v>248571</v>
      </c>
      <c r="L135" s="22"/>
      <c r="M135" s="22"/>
      <c r="N135" s="22"/>
      <c r="O135" s="64" t="s">
        <v>26</v>
      </c>
      <c r="P135" s="34"/>
      <c r="Q135"/>
      <c r="R135"/>
      <c r="S135"/>
      <c r="T135"/>
      <c r="U135"/>
      <c r="V135"/>
      <c r="W135"/>
      <c r="X135"/>
      <c r="Y135"/>
    </row>
    <row r="136" spans="1:25" s="8" customFormat="1" ht="37.5" customHeight="1" x14ac:dyDescent="0.25">
      <c r="A136"/>
      <c r="B136" s="20" t="s">
        <v>17</v>
      </c>
      <c r="C136" s="21" t="s">
        <v>375</v>
      </c>
      <c r="D136" s="21" t="s">
        <v>376</v>
      </c>
      <c r="E136" s="21" t="s">
        <v>379</v>
      </c>
      <c r="F136" s="21" t="s">
        <v>380</v>
      </c>
      <c r="G136" s="60" t="s">
        <v>21</v>
      </c>
      <c r="H136" s="61" t="s">
        <v>245</v>
      </c>
      <c r="I136" s="22">
        <v>1</v>
      </c>
      <c r="J136" s="22">
        <f>504464.3-30268.3</f>
        <v>474196</v>
      </c>
      <c r="K136" s="22">
        <f>I136*J136</f>
        <v>474196</v>
      </c>
      <c r="L136" s="22"/>
      <c r="M136" s="22"/>
      <c r="N136" s="22"/>
      <c r="O136" s="64" t="s">
        <v>26</v>
      </c>
      <c r="P136" s="24"/>
      <c r="Q136"/>
      <c r="R136"/>
      <c r="S136"/>
      <c r="T136"/>
      <c r="U136"/>
      <c r="V136"/>
      <c r="W136"/>
      <c r="X136"/>
      <c r="Y136"/>
    </row>
    <row r="137" spans="1:25" s="8" customFormat="1" ht="39" customHeight="1" x14ac:dyDescent="0.25">
      <c r="A137"/>
      <c r="B137" s="20" t="s">
        <v>17</v>
      </c>
      <c r="C137" s="21" t="s">
        <v>375</v>
      </c>
      <c r="D137" s="21" t="s">
        <v>376</v>
      </c>
      <c r="E137" s="21" t="s">
        <v>381</v>
      </c>
      <c r="F137" s="21" t="s">
        <v>382</v>
      </c>
      <c r="G137" s="60" t="s">
        <v>72</v>
      </c>
      <c r="H137" s="61" t="s">
        <v>245</v>
      </c>
      <c r="I137" s="22">
        <v>1</v>
      </c>
      <c r="J137" s="22">
        <f>491071.45-17857.16</f>
        <v>473214.29000000004</v>
      </c>
      <c r="K137" s="22">
        <f t="shared" ref="K137:K147" si="5">I137*J137</f>
        <v>473214.29000000004</v>
      </c>
      <c r="L137" s="22"/>
      <c r="M137" s="22"/>
      <c r="N137" s="22"/>
      <c r="O137" s="64" t="s">
        <v>26</v>
      </c>
      <c r="P137" s="24"/>
      <c r="Q137"/>
      <c r="R137"/>
      <c r="S137"/>
      <c r="T137"/>
      <c r="U137"/>
      <c r="V137"/>
      <c r="W137"/>
      <c r="X137"/>
      <c r="Y137"/>
    </row>
    <row r="138" spans="1:25" s="8" customFormat="1" ht="51.75" x14ac:dyDescent="0.25">
      <c r="A138"/>
      <c r="B138" s="20" t="s">
        <v>17</v>
      </c>
      <c r="C138" s="21" t="s">
        <v>375</v>
      </c>
      <c r="D138" s="21" t="s">
        <v>376</v>
      </c>
      <c r="E138" s="21" t="s">
        <v>383</v>
      </c>
      <c r="F138" s="21" t="s">
        <v>384</v>
      </c>
      <c r="G138" s="60" t="s">
        <v>21</v>
      </c>
      <c r="H138" s="61" t="s">
        <v>245</v>
      </c>
      <c r="I138" s="22">
        <v>1</v>
      </c>
      <c r="J138" s="22">
        <f>303571.5-30358.5</f>
        <v>273213</v>
      </c>
      <c r="K138" s="22">
        <f t="shared" si="5"/>
        <v>273213</v>
      </c>
      <c r="L138" s="22"/>
      <c r="M138" s="22"/>
      <c r="N138" s="22"/>
      <c r="O138" s="64" t="s">
        <v>26</v>
      </c>
      <c r="P138" s="24"/>
      <c r="Q138"/>
      <c r="R138"/>
      <c r="S138"/>
      <c r="T138"/>
      <c r="U138"/>
      <c r="V138"/>
      <c r="W138"/>
      <c r="X138"/>
      <c r="Y138"/>
    </row>
    <row r="139" spans="1:25" s="8" customFormat="1" ht="39" x14ac:dyDescent="0.25">
      <c r="A139"/>
      <c r="B139" s="20" t="s">
        <v>17</v>
      </c>
      <c r="C139" s="21" t="s">
        <v>385</v>
      </c>
      <c r="D139" s="21" t="s">
        <v>386</v>
      </c>
      <c r="E139" s="21" t="s">
        <v>387</v>
      </c>
      <c r="F139" s="21" t="s">
        <v>388</v>
      </c>
      <c r="G139" s="60" t="s">
        <v>246</v>
      </c>
      <c r="H139" s="61" t="s">
        <v>245</v>
      </c>
      <c r="I139" s="22">
        <v>1</v>
      </c>
      <c r="J139" s="22">
        <v>12533333.33</v>
      </c>
      <c r="K139" s="22">
        <f t="shared" si="5"/>
        <v>12533333.33</v>
      </c>
      <c r="L139" s="22"/>
      <c r="M139" s="22"/>
      <c r="N139" s="22"/>
      <c r="O139" s="64" t="s">
        <v>26</v>
      </c>
      <c r="P139" s="24"/>
      <c r="Q139"/>
      <c r="R139"/>
      <c r="S139"/>
      <c r="T139"/>
      <c r="U139"/>
      <c r="V139"/>
      <c r="W139"/>
      <c r="X139"/>
      <c r="Y139"/>
    </row>
    <row r="140" spans="1:25" s="8" customFormat="1" ht="39" x14ac:dyDescent="0.25">
      <c r="A140"/>
      <c r="B140" s="20" t="s">
        <v>17</v>
      </c>
      <c r="C140" s="21" t="s">
        <v>385</v>
      </c>
      <c r="D140" s="21" t="s">
        <v>386</v>
      </c>
      <c r="E140" s="21" t="s">
        <v>387</v>
      </c>
      <c r="F140" s="21" t="s">
        <v>388</v>
      </c>
      <c r="G140" s="60" t="s">
        <v>255</v>
      </c>
      <c r="H140" s="61" t="s">
        <v>245</v>
      </c>
      <c r="I140" s="22">
        <v>1</v>
      </c>
      <c r="J140" s="22">
        <v>40144580.737499997</v>
      </c>
      <c r="K140" s="22">
        <f>I140*J140</f>
        <v>40144580.737499997</v>
      </c>
      <c r="L140" s="22"/>
      <c r="M140" s="22"/>
      <c r="N140" s="22"/>
      <c r="O140" s="64" t="s">
        <v>26</v>
      </c>
      <c r="P140" s="24"/>
      <c r="Q140"/>
      <c r="R140"/>
      <c r="S140"/>
      <c r="T140"/>
      <c r="U140"/>
      <c r="V140"/>
      <c r="W140"/>
      <c r="X140"/>
      <c r="Y140"/>
    </row>
    <row r="141" spans="1:25" s="8" customFormat="1" ht="39" x14ac:dyDescent="0.25">
      <c r="A141"/>
      <c r="B141" s="20" t="s">
        <v>17</v>
      </c>
      <c r="C141" s="21" t="s">
        <v>385</v>
      </c>
      <c r="D141" s="21" t="s">
        <v>386</v>
      </c>
      <c r="E141" s="21" t="s">
        <v>389</v>
      </c>
      <c r="F141" s="21" t="s">
        <v>390</v>
      </c>
      <c r="G141" s="60" t="s">
        <v>72</v>
      </c>
      <c r="H141" s="61" t="s">
        <v>245</v>
      </c>
      <c r="I141" s="22">
        <v>1</v>
      </c>
      <c r="J141" s="22">
        <f>44192554.5-305842.53</f>
        <v>43886711.969999999</v>
      </c>
      <c r="K141" s="22">
        <f t="shared" si="5"/>
        <v>43886711.969999999</v>
      </c>
      <c r="L141" s="22"/>
      <c r="M141" s="22"/>
      <c r="N141" s="22"/>
      <c r="O141" s="64" t="s">
        <v>26</v>
      </c>
      <c r="P141" s="24"/>
      <c r="Q141"/>
      <c r="R141"/>
      <c r="S141"/>
      <c r="T141"/>
      <c r="U141"/>
      <c r="V141"/>
      <c r="W141"/>
      <c r="X141"/>
      <c r="Y141"/>
    </row>
    <row r="142" spans="1:25" s="8" customFormat="1" ht="64.5" x14ac:dyDescent="0.25">
      <c r="A142"/>
      <c r="B142" s="20" t="s">
        <v>17</v>
      </c>
      <c r="C142" s="21" t="s">
        <v>391</v>
      </c>
      <c r="D142" s="21" t="s">
        <v>392</v>
      </c>
      <c r="E142" s="21" t="s">
        <v>393</v>
      </c>
      <c r="F142" s="21" t="s">
        <v>394</v>
      </c>
      <c r="G142" s="60" t="s">
        <v>72</v>
      </c>
      <c r="H142" s="61" t="s">
        <v>245</v>
      </c>
      <c r="I142" s="22">
        <v>1</v>
      </c>
      <c r="J142" s="22">
        <f>8035714.3-31714.3</f>
        <v>8004000</v>
      </c>
      <c r="K142" s="22">
        <f t="shared" si="5"/>
        <v>8004000</v>
      </c>
      <c r="L142" s="22"/>
      <c r="M142" s="22"/>
      <c r="N142" s="22"/>
      <c r="O142" s="64" t="s">
        <v>26</v>
      </c>
      <c r="P142" s="24"/>
      <c r="Q142"/>
      <c r="R142"/>
      <c r="S142"/>
      <c r="T142"/>
      <c r="U142"/>
      <c r="V142"/>
      <c r="W142"/>
      <c r="X142"/>
      <c r="Y142"/>
    </row>
    <row r="143" spans="1:25" s="8" customFormat="1" ht="51.75" x14ac:dyDescent="0.25">
      <c r="A143"/>
      <c r="B143" s="20" t="s">
        <v>17</v>
      </c>
      <c r="C143" s="21" t="s">
        <v>395</v>
      </c>
      <c r="D143" s="21" t="s">
        <v>396</v>
      </c>
      <c r="E143" s="21" t="s">
        <v>397</v>
      </c>
      <c r="F143" s="21" t="s">
        <v>398</v>
      </c>
      <c r="G143" s="60" t="s">
        <v>399</v>
      </c>
      <c r="H143" s="61" t="s">
        <v>245</v>
      </c>
      <c r="I143" s="22">
        <v>1</v>
      </c>
      <c r="J143" s="22">
        <f>9232142.85-2142.85</f>
        <v>9230000</v>
      </c>
      <c r="K143" s="22">
        <f t="shared" si="5"/>
        <v>9230000</v>
      </c>
      <c r="L143" s="22"/>
      <c r="M143" s="22"/>
      <c r="N143" s="22"/>
      <c r="O143" s="64" t="s">
        <v>26</v>
      </c>
      <c r="P143" s="24"/>
      <c r="Q143"/>
      <c r="R143"/>
      <c r="S143"/>
      <c r="T143"/>
      <c r="U143"/>
      <c r="V143"/>
      <c r="W143"/>
      <c r="X143"/>
      <c r="Y143"/>
    </row>
    <row r="144" spans="1:25" s="8" customFormat="1" ht="51.75" x14ac:dyDescent="0.25">
      <c r="A144"/>
      <c r="B144" s="20" t="s">
        <v>17</v>
      </c>
      <c r="C144" s="21" t="s">
        <v>400</v>
      </c>
      <c r="D144" s="21" t="s">
        <v>396</v>
      </c>
      <c r="E144" s="21" t="s">
        <v>401</v>
      </c>
      <c r="F144" s="21" t="s">
        <v>402</v>
      </c>
      <c r="G144" s="60" t="s">
        <v>246</v>
      </c>
      <c r="H144" s="61" t="s">
        <v>245</v>
      </c>
      <c r="I144" s="22">
        <v>1</v>
      </c>
      <c r="J144" s="22">
        <v>133333</v>
      </c>
      <c r="K144" s="22">
        <f t="shared" si="5"/>
        <v>133333</v>
      </c>
      <c r="L144" s="22"/>
      <c r="M144" s="22"/>
      <c r="N144" s="22"/>
      <c r="O144" s="64" t="s">
        <v>26</v>
      </c>
      <c r="P144" s="24"/>
      <c r="Q144"/>
      <c r="R144"/>
      <c r="S144"/>
      <c r="T144"/>
      <c r="U144"/>
      <c r="V144"/>
      <c r="W144"/>
      <c r="X144"/>
      <c r="Y144"/>
    </row>
    <row r="145" spans="1:25" s="8" customFormat="1" ht="51.75" x14ac:dyDescent="0.25">
      <c r="A145"/>
      <c r="B145" s="20" t="s">
        <v>17</v>
      </c>
      <c r="C145" s="21" t="s">
        <v>400</v>
      </c>
      <c r="D145" s="21" t="s">
        <v>396</v>
      </c>
      <c r="E145" s="21" t="s">
        <v>401</v>
      </c>
      <c r="F145" s="21" t="s">
        <v>402</v>
      </c>
      <c r="G145" s="60" t="s">
        <v>399</v>
      </c>
      <c r="H145" s="61" t="s">
        <v>245</v>
      </c>
      <c r="I145" s="22">
        <v>1</v>
      </c>
      <c r="J145" s="22">
        <f>1275000-255000</f>
        <v>1020000</v>
      </c>
      <c r="K145" s="22">
        <f t="shared" si="5"/>
        <v>1020000</v>
      </c>
      <c r="L145" s="22"/>
      <c r="M145" s="22"/>
      <c r="N145" s="22"/>
      <c r="O145" s="64" t="s">
        <v>26</v>
      </c>
      <c r="P145" s="24"/>
      <c r="Q145"/>
      <c r="R145"/>
      <c r="S145"/>
      <c r="T145"/>
      <c r="U145"/>
      <c r="V145"/>
      <c r="W145"/>
      <c r="X145"/>
      <c r="Y145"/>
    </row>
    <row r="146" spans="1:25" s="8" customFormat="1" ht="51.75" x14ac:dyDescent="0.25">
      <c r="A146"/>
      <c r="B146" s="20" t="s">
        <v>17</v>
      </c>
      <c r="C146" s="21" t="s">
        <v>400</v>
      </c>
      <c r="D146" s="21" t="s">
        <v>396</v>
      </c>
      <c r="E146" s="21" t="s">
        <v>403</v>
      </c>
      <c r="F146" s="21" t="s">
        <v>404</v>
      </c>
      <c r="G146" s="60" t="s">
        <v>246</v>
      </c>
      <c r="H146" s="61" t="s">
        <v>245</v>
      </c>
      <c r="I146" s="22">
        <v>1</v>
      </c>
      <c r="J146" s="22">
        <v>146666.67000000001</v>
      </c>
      <c r="K146" s="22">
        <f t="shared" si="5"/>
        <v>146666.67000000001</v>
      </c>
      <c r="L146" s="22"/>
      <c r="M146" s="22"/>
      <c r="N146" s="22"/>
      <c r="O146" s="64" t="s">
        <v>26</v>
      </c>
      <c r="P146" s="24"/>
      <c r="Q146"/>
      <c r="R146"/>
      <c r="S146"/>
      <c r="T146"/>
      <c r="U146"/>
      <c r="V146"/>
      <c r="W146"/>
      <c r="X146"/>
      <c r="Y146"/>
    </row>
    <row r="147" spans="1:25" s="8" customFormat="1" ht="51.75" x14ac:dyDescent="0.25">
      <c r="A147"/>
      <c r="B147" s="20" t="s">
        <v>17</v>
      </c>
      <c r="C147" s="21" t="s">
        <v>400</v>
      </c>
      <c r="D147" s="21" t="s">
        <v>396</v>
      </c>
      <c r="E147" s="21" t="s">
        <v>403</v>
      </c>
      <c r="F147" s="21" t="s">
        <v>404</v>
      </c>
      <c r="G147" s="60" t="s">
        <v>399</v>
      </c>
      <c r="H147" s="61" t="s">
        <v>245</v>
      </c>
      <c r="I147" s="22">
        <v>1</v>
      </c>
      <c r="J147" s="22">
        <f>1473750-323750</f>
        <v>1150000</v>
      </c>
      <c r="K147" s="22">
        <f t="shared" si="5"/>
        <v>1150000</v>
      </c>
      <c r="L147" s="22"/>
      <c r="M147" s="22"/>
      <c r="N147" s="22"/>
      <c r="O147" s="64" t="s">
        <v>26</v>
      </c>
      <c r="P147" s="24"/>
      <c r="Q147"/>
      <c r="R147"/>
      <c r="S147"/>
      <c r="T147"/>
      <c r="U147"/>
      <c r="V147"/>
      <c r="W147"/>
      <c r="X147"/>
      <c r="Y147"/>
    </row>
    <row r="148" spans="1:25" s="8" customFormat="1" ht="39" x14ac:dyDescent="0.25">
      <c r="A148"/>
      <c r="B148" s="20" t="s">
        <v>17</v>
      </c>
      <c r="C148" s="21" t="s">
        <v>405</v>
      </c>
      <c r="D148" s="21" t="s">
        <v>406</v>
      </c>
      <c r="E148" s="21" t="s">
        <v>407</v>
      </c>
      <c r="F148" s="21" t="s">
        <v>408</v>
      </c>
      <c r="G148" s="60" t="s">
        <v>399</v>
      </c>
      <c r="H148" s="61" t="s">
        <v>245</v>
      </c>
      <c r="I148" s="22">
        <v>1</v>
      </c>
      <c r="J148" s="22">
        <f>2394047.6-744047.6</f>
        <v>1650000</v>
      </c>
      <c r="K148" s="22">
        <f>I148*J148</f>
        <v>1650000</v>
      </c>
      <c r="L148" s="22"/>
      <c r="M148" s="22"/>
      <c r="N148" s="22"/>
      <c r="O148" s="64" t="s">
        <v>52</v>
      </c>
      <c r="P148" s="24"/>
      <c r="Q148"/>
      <c r="R148"/>
      <c r="S148"/>
      <c r="T148"/>
      <c r="U148"/>
      <c r="V148"/>
      <c r="W148"/>
      <c r="X148"/>
      <c r="Y148"/>
    </row>
    <row r="149" spans="1:25" s="8" customFormat="1" ht="39" x14ac:dyDescent="0.25">
      <c r="A149"/>
      <c r="B149" s="20" t="s">
        <v>17</v>
      </c>
      <c r="C149" s="21" t="s">
        <v>409</v>
      </c>
      <c r="D149" s="21" t="s">
        <v>410</v>
      </c>
      <c r="E149" s="21" t="s">
        <v>411</v>
      </c>
      <c r="F149" s="21" t="s">
        <v>412</v>
      </c>
      <c r="G149" s="60" t="s">
        <v>255</v>
      </c>
      <c r="H149" s="61" t="s">
        <v>245</v>
      </c>
      <c r="I149" s="22">
        <v>1</v>
      </c>
      <c r="J149" s="22">
        <f>3320000-215000</f>
        <v>3105000</v>
      </c>
      <c r="K149" s="22">
        <f t="shared" ref="K149:K206" si="6">I149*J149</f>
        <v>3105000</v>
      </c>
      <c r="L149" s="22"/>
      <c r="M149" s="22"/>
      <c r="N149" s="22"/>
      <c r="O149" s="64" t="s">
        <v>52</v>
      </c>
      <c r="P149" s="34"/>
      <c r="Q149"/>
      <c r="R149"/>
      <c r="S149"/>
      <c r="T149"/>
      <c r="U149"/>
      <c r="V149"/>
      <c r="W149"/>
      <c r="X149"/>
      <c r="Y149"/>
    </row>
    <row r="150" spans="1:25" s="8" customFormat="1" ht="39" x14ac:dyDescent="0.25">
      <c r="A150"/>
      <c r="B150" s="20" t="s">
        <v>17</v>
      </c>
      <c r="C150" s="21" t="s">
        <v>405</v>
      </c>
      <c r="D150" s="21" t="s">
        <v>406</v>
      </c>
      <c r="E150" s="21" t="s">
        <v>413</v>
      </c>
      <c r="F150" s="21" t="s">
        <v>414</v>
      </c>
      <c r="G150" s="60" t="s">
        <v>246</v>
      </c>
      <c r="H150" s="61" t="s">
        <v>245</v>
      </c>
      <c r="I150" s="22">
        <v>1</v>
      </c>
      <c r="J150" s="22">
        <f>9666666.64+0.03</f>
        <v>9666666.6699999999</v>
      </c>
      <c r="K150" s="22">
        <f t="shared" si="6"/>
        <v>9666666.6699999999</v>
      </c>
      <c r="L150" s="22"/>
      <c r="M150" s="22"/>
      <c r="N150" s="22"/>
      <c r="O150" s="60" t="s">
        <v>26</v>
      </c>
      <c r="P150" s="34"/>
      <c r="Q150"/>
      <c r="R150"/>
      <c r="S150"/>
      <c r="T150"/>
      <c r="U150"/>
      <c r="V150"/>
      <c r="W150"/>
      <c r="X150"/>
      <c r="Y150"/>
    </row>
    <row r="151" spans="1:25" s="8" customFormat="1" ht="39" x14ac:dyDescent="0.25">
      <c r="A151"/>
      <c r="B151" s="20" t="s">
        <v>17</v>
      </c>
      <c r="C151" s="21" t="s">
        <v>405</v>
      </c>
      <c r="D151" s="21" t="s">
        <v>406</v>
      </c>
      <c r="E151" s="21" t="s">
        <v>413</v>
      </c>
      <c r="F151" s="21" t="s">
        <v>414</v>
      </c>
      <c r="G151" s="60" t="s">
        <v>255</v>
      </c>
      <c r="H151" s="61" t="s">
        <v>245</v>
      </c>
      <c r="I151" s="22">
        <v>1</v>
      </c>
      <c r="J151" s="22">
        <f>32315400-7181200+8850225.87+1705704.49-169080.18</f>
        <v>35521050.18</v>
      </c>
      <c r="K151" s="22">
        <f t="shared" si="6"/>
        <v>35521050.18</v>
      </c>
      <c r="L151" s="22"/>
      <c r="M151" s="22"/>
      <c r="N151" s="22"/>
      <c r="O151" s="60" t="s">
        <v>23</v>
      </c>
      <c r="P151" s="34"/>
      <c r="Q151"/>
      <c r="R151"/>
      <c r="S151"/>
      <c r="T151"/>
      <c r="U151"/>
      <c r="V151"/>
      <c r="W151"/>
      <c r="X151"/>
      <c r="Y151"/>
    </row>
    <row r="152" spans="1:25" s="8" customFormat="1" ht="39" x14ac:dyDescent="0.25">
      <c r="A152"/>
      <c r="B152" s="20" t="s">
        <v>17</v>
      </c>
      <c r="C152" s="21" t="s">
        <v>405</v>
      </c>
      <c r="D152" s="21" t="s">
        <v>406</v>
      </c>
      <c r="E152" s="21" t="s">
        <v>415</v>
      </c>
      <c r="F152" s="21" t="s">
        <v>416</v>
      </c>
      <c r="G152" s="60" t="s">
        <v>399</v>
      </c>
      <c r="H152" s="61" t="s">
        <v>245</v>
      </c>
      <c r="I152" s="22">
        <v>1</v>
      </c>
      <c r="J152" s="22">
        <f>509310.7+96751.8-2781.27</f>
        <v>603281.23</v>
      </c>
      <c r="K152" s="22">
        <f>I152*J152</f>
        <v>603281.23</v>
      </c>
      <c r="L152" s="22"/>
      <c r="M152" s="22"/>
      <c r="N152" s="22"/>
      <c r="O152" s="64" t="s">
        <v>52</v>
      </c>
      <c r="P152" s="24"/>
      <c r="Q152"/>
      <c r="R152"/>
      <c r="S152"/>
      <c r="T152"/>
      <c r="U152"/>
      <c r="V152"/>
      <c r="W152"/>
      <c r="X152"/>
      <c r="Y152"/>
    </row>
    <row r="153" spans="1:25" s="8" customFormat="1" ht="39" x14ac:dyDescent="0.25">
      <c r="A153"/>
      <c r="B153" s="20" t="s">
        <v>17</v>
      </c>
      <c r="C153" s="21" t="s">
        <v>385</v>
      </c>
      <c r="D153" s="21" t="s">
        <v>386</v>
      </c>
      <c r="E153" s="21" t="s">
        <v>417</v>
      </c>
      <c r="F153" s="21" t="s">
        <v>418</v>
      </c>
      <c r="G153" s="60" t="s">
        <v>246</v>
      </c>
      <c r="H153" s="61" t="s">
        <v>245</v>
      </c>
      <c r="I153" s="22">
        <v>1</v>
      </c>
      <c r="J153" s="22">
        <f>44997866.64/1.12</f>
        <v>40176666.642857142</v>
      </c>
      <c r="K153" s="22">
        <f>J153</f>
        <v>40176666.642857142</v>
      </c>
      <c r="L153" s="22"/>
      <c r="M153" s="22"/>
      <c r="N153" s="22"/>
      <c r="O153" s="64" t="s">
        <v>26</v>
      </c>
      <c r="P153" s="24"/>
      <c r="Q153"/>
      <c r="R153"/>
      <c r="S153"/>
      <c r="T153"/>
      <c r="U153"/>
      <c r="V153"/>
      <c r="W153"/>
      <c r="X153"/>
      <c r="Y153"/>
    </row>
    <row r="154" spans="1:25" s="8" customFormat="1" ht="39" x14ac:dyDescent="0.25">
      <c r="A154"/>
      <c r="B154" s="20" t="s">
        <v>17</v>
      </c>
      <c r="C154" s="21" t="s">
        <v>385</v>
      </c>
      <c r="D154" s="21" t="s">
        <v>386</v>
      </c>
      <c r="E154" s="21" t="s">
        <v>417</v>
      </c>
      <c r="F154" s="21" t="s">
        <v>418</v>
      </c>
      <c r="G154" s="60" t="s">
        <v>255</v>
      </c>
      <c r="H154" s="61" t="s">
        <v>245</v>
      </c>
      <c r="I154" s="22">
        <v>1</v>
      </c>
      <c r="J154" s="22">
        <v>120433674.67500001</v>
      </c>
      <c r="K154" s="22">
        <f t="shared" si="6"/>
        <v>120433674.67500001</v>
      </c>
      <c r="L154" s="22"/>
      <c r="M154" s="22"/>
      <c r="N154" s="22"/>
      <c r="O154" s="64" t="s">
        <v>26</v>
      </c>
      <c r="P154" s="34"/>
      <c r="Q154"/>
      <c r="R154"/>
      <c r="S154"/>
      <c r="T154"/>
      <c r="U154"/>
      <c r="V154"/>
      <c r="W154"/>
      <c r="X154"/>
      <c r="Y154"/>
    </row>
    <row r="155" spans="1:25" s="8" customFormat="1" ht="51.75" x14ac:dyDescent="0.25">
      <c r="A155"/>
      <c r="B155" s="20" t="s">
        <v>17</v>
      </c>
      <c r="C155" s="21" t="s">
        <v>419</v>
      </c>
      <c r="D155" s="21" t="s">
        <v>420</v>
      </c>
      <c r="E155" s="21" t="s">
        <v>421</v>
      </c>
      <c r="F155" s="21" t="s">
        <v>422</v>
      </c>
      <c r="G155" s="60" t="s">
        <v>399</v>
      </c>
      <c r="H155" s="61" t="s">
        <v>288</v>
      </c>
      <c r="I155" s="22">
        <v>1</v>
      </c>
      <c r="J155" s="22">
        <v>850000</v>
      </c>
      <c r="K155" s="22">
        <f t="shared" si="6"/>
        <v>850000</v>
      </c>
      <c r="L155" s="22"/>
      <c r="M155" s="22"/>
      <c r="N155" s="22"/>
      <c r="O155" s="60" t="s">
        <v>311</v>
      </c>
      <c r="P155" s="24"/>
      <c r="Q155"/>
      <c r="R155"/>
      <c r="S155"/>
      <c r="T155"/>
      <c r="U155"/>
      <c r="V155"/>
      <c r="W155"/>
      <c r="X155"/>
      <c r="Y155"/>
    </row>
    <row r="156" spans="1:25" s="8" customFormat="1" ht="39" x14ac:dyDescent="0.25">
      <c r="A156"/>
      <c r="B156" s="20" t="s">
        <v>17</v>
      </c>
      <c r="C156" s="21" t="s">
        <v>423</v>
      </c>
      <c r="D156" s="21" t="s">
        <v>424</v>
      </c>
      <c r="E156" s="21" t="s">
        <v>425</v>
      </c>
      <c r="F156" s="21" t="s">
        <v>426</v>
      </c>
      <c r="G156" s="60" t="s">
        <v>399</v>
      </c>
      <c r="H156" s="61" t="s">
        <v>288</v>
      </c>
      <c r="I156" s="22">
        <v>1</v>
      </c>
      <c r="J156" s="22">
        <v>1031646</v>
      </c>
      <c r="K156" s="22">
        <f t="shared" si="6"/>
        <v>1031646</v>
      </c>
      <c r="L156" s="22"/>
      <c r="M156" s="22"/>
      <c r="N156" s="22"/>
      <c r="O156" s="60" t="s">
        <v>311</v>
      </c>
      <c r="P156" s="24"/>
      <c r="Q156"/>
      <c r="R156"/>
      <c r="S156"/>
      <c r="T156"/>
      <c r="U156"/>
      <c r="V156"/>
      <c r="W156"/>
      <c r="X156"/>
      <c r="Y156"/>
    </row>
    <row r="157" spans="1:25" s="8" customFormat="1" ht="26.25" x14ac:dyDescent="0.25">
      <c r="A157"/>
      <c r="B157" s="20" t="s">
        <v>17</v>
      </c>
      <c r="C157" s="21" t="s">
        <v>427</v>
      </c>
      <c r="D157" s="21" t="s">
        <v>428</v>
      </c>
      <c r="E157" s="21" t="s">
        <v>429</v>
      </c>
      <c r="F157" s="21" t="s">
        <v>430</v>
      </c>
      <c r="G157" s="60" t="s">
        <v>72</v>
      </c>
      <c r="H157" s="61" t="s">
        <v>245</v>
      </c>
      <c r="I157" s="22">
        <v>1</v>
      </c>
      <c r="J157" s="22">
        <f>40257360+4976160+2200152</f>
        <v>47433672</v>
      </c>
      <c r="K157" s="22">
        <f t="shared" si="6"/>
        <v>47433672</v>
      </c>
      <c r="L157" s="22"/>
      <c r="M157" s="22"/>
      <c r="N157" s="22"/>
      <c r="O157" s="64" t="s">
        <v>23</v>
      </c>
      <c r="P157" s="24"/>
      <c r="Q157"/>
      <c r="R157"/>
      <c r="S157"/>
      <c r="T157"/>
      <c r="U157"/>
      <c r="V157"/>
      <c r="W157"/>
      <c r="X157"/>
      <c r="Y157"/>
    </row>
    <row r="158" spans="1:25" s="8" customFormat="1" ht="26.25" x14ac:dyDescent="0.25">
      <c r="A158"/>
      <c r="B158" s="20" t="s">
        <v>17</v>
      </c>
      <c r="C158" s="21" t="s">
        <v>427</v>
      </c>
      <c r="D158" s="21" t="s">
        <v>428</v>
      </c>
      <c r="E158" s="21" t="s">
        <v>431</v>
      </c>
      <c r="F158" s="21" t="s">
        <v>432</v>
      </c>
      <c r="G158" s="60" t="s">
        <v>72</v>
      </c>
      <c r="H158" s="61" t="s">
        <v>245</v>
      </c>
      <c r="I158" s="22">
        <v>1</v>
      </c>
      <c r="J158" s="22">
        <f>1800000+342857.14</f>
        <v>2142857.14</v>
      </c>
      <c r="K158" s="22">
        <f t="shared" si="6"/>
        <v>2142857.14</v>
      </c>
      <c r="L158" s="22"/>
      <c r="M158" s="22"/>
      <c r="N158" s="22"/>
      <c r="O158" s="64" t="s">
        <v>23</v>
      </c>
      <c r="P158" s="24"/>
      <c r="Q158"/>
      <c r="R158"/>
      <c r="S158"/>
      <c r="T158"/>
      <c r="U158"/>
      <c r="V158"/>
      <c r="W158"/>
      <c r="X158"/>
      <c r="Y158"/>
    </row>
    <row r="159" spans="1:25" s="8" customFormat="1" ht="39" x14ac:dyDescent="0.25">
      <c r="A159"/>
      <c r="B159" s="20" t="s">
        <v>17</v>
      </c>
      <c r="C159" s="21" t="s">
        <v>427</v>
      </c>
      <c r="D159" s="21" t="s">
        <v>428</v>
      </c>
      <c r="E159" s="21" t="s">
        <v>433</v>
      </c>
      <c r="F159" s="21" t="s">
        <v>434</v>
      </c>
      <c r="G159" s="60" t="s">
        <v>72</v>
      </c>
      <c r="H159" s="61" t="s">
        <v>245</v>
      </c>
      <c r="I159" s="22">
        <v>1</v>
      </c>
      <c r="J159" s="22">
        <v>221906971.81999999</v>
      </c>
      <c r="K159" s="22">
        <f t="shared" si="6"/>
        <v>221906971.81999999</v>
      </c>
      <c r="L159" s="22"/>
      <c r="M159" s="22"/>
      <c r="N159" s="22"/>
      <c r="O159" s="64" t="s">
        <v>26</v>
      </c>
      <c r="P159" s="24"/>
      <c r="Q159"/>
      <c r="R159"/>
      <c r="S159"/>
      <c r="T159"/>
      <c r="U159"/>
      <c r="V159"/>
      <c r="W159"/>
      <c r="X159"/>
      <c r="Y159"/>
    </row>
    <row r="160" spans="1:25" s="8" customFormat="1" ht="26.25" x14ac:dyDescent="0.25">
      <c r="A160"/>
      <c r="B160" s="20" t="s">
        <v>17</v>
      </c>
      <c r="C160" s="21" t="s">
        <v>427</v>
      </c>
      <c r="D160" s="21" t="s">
        <v>428</v>
      </c>
      <c r="E160" s="21" t="s">
        <v>435</v>
      </c>
      <c r="F160" s="21" t="s">
        <v>436</v>
      </c>
      <c r="G160" s="60" t="s">
        <v>399</v>
      </c>
      <c r="H160" s="61" t="s">
        <v>245</v>
      </c>
      <c r="I160" s="22">
        <v>1</v>
      </c>
      <c r="J160" s="22">
        <v>130116.00000000001</v>
      </c>
      <c r="K160" s="22">
        <f t="shared" si="6"/>
        <v>130116.00000000001</v>
      </c>
      <c r="L160" s="22"/>
      <c r="M160" s="22"/>
      <c r="N160" s="22"/>
      <c r="O160" s="60" t="s">
        <v>78</v>
      </c>
      <c r="P160" s="24"/>
      <c r="Q160"/>
      <c r="R160"/>
      <c r="S160"/>
      <c r="T160"/>
      <c r="U160"/>
      <c r="V160"/>
      <c r="W160"/>
      <c r="X160"/>
      <c r="Y160"/>
    </row>
    <row r="161" spans="1:25" s="8" customFormat="1" ht="35.25" customHeight="1" x14ac:dyDescent="0.25">
      <c r="A161"/>
      <c r="B161" s="20" t="s">
        <v>17</v>
      </c>
      <c r="C161" s="21" t="s">
        <v>437</v>
      </c>
      <c r="D161" s="21" t="s">
        <v>438</v>
      </c>
      <c r="E161" s="21" t="s">
        <v>439</v>
      </c>
      <c r="F161" s="21" t="s">
        <v>440</v>
      </c>
      <c r="G161" s="60" t="s">
        <v>399</v>
      </c>
      <c r="H161" s="61" t="s">
        <v>245</v>
      </c>
      <c r="I161" s="22">
        <v>1</v>
      </c>
      <c r="J161" s="22">
        <v>750000</v>
      </c>
      <c r="K161" s="22">
        <f t="shared" si="6"/>
        <v>750000</v>
      </c>
      <c r="L161" s="22"/>
      <c r="M161" s="22"/>
      <c r="N161" s="22"/>
      <c r="O161" s="60" t="s">
        <v>262</v>
      </c>
      <c r="P161" s="24"/>
      <c r="Q161"/>
      <c r="R161"/>
      <c r="S161"/>
      <c r="T161"/>
      <c r="U161"/>
      <c r="V161"/>
      <c r="W161"/>
      <c r="X161"/>
      <c r="Y161"/>
    </row>
    <row r="162" spans="1:25" s="8" customFormat="1" ht="26.25" x14ac:dyDescent="0.25">
      <c r="A162"/>
      <c r="B162" s="20" t="s">
        <v>17</v>
      </c>
      <c r="C162" s="21" t="s">
        <v>427</v>
      </c>
      <c r="D162" s="21" t="s">
        <v>428</v>
      </c>
      <c r="E162" s="21" t="s">
        <v>441</v>
      </c>
      <c r="F162" s="21" t="s">
        <v>442</v>
      </c>
      <c r="G162" s="60" t="s">
        <v>399</v>
      </c>
      <c r="H162" s="61" t="s">
        <v>245</v>
      </c>
      <c r="I162" s="22">
        <v>1</v>
      </c>
      <c r="J162" s="22">
        <v>11999999.999999998</v>
      </c>
      <c r="K162" s="22">
        <f t="shared" si="6"/>
        <v>11999999.999999998</v>
      </c>
      <c r="L162" s="22"/>
      <c r="M162" s="22"/>
      <c r="N162" s="22"/>
      <c r="O162" s="60" t="s">
        <v>443</v>
      </c>
      <c r="P162" s="24"/>
      <c r="Q162"/>
      <c r="R162"/>
      <c r="S162"/>
      <c r="T162"/>
      <c r="U162"/>
      <c r="V162"/>
      <c r="W162"/>
      <c r="X162"/>
      <c r="Y162"/>
    </row>
    <row r="163" spans="1:25" s="8" customFormat="1" ht="26.25" x14ac:dyDescent="0.25">
      <c r="A163"/>
      <c r="B163" s="20" t="s">
        <v>17</v>
      </c>
      <c r="C163" s="21" t="s">
        <v>427</v>
      </c>
      <c r="D163" s="21" t="s">
        <v>428</v>
      </c>
      <c r="E163" s="21" t="s">
        <v>444</v>
      </c>
      <c r="F163" s="21" t="s">
        <v>445</v>
      </c>
      <c r="G163" s="60" t="s">
        <v>72</v>
      </c>
      <c r="H163" s="61" t="s">
        <v>245</v>
      </c>
      <c r="I163" s="22">
        <v>1</v>
      </c>
      <c r="J163" s="22">
        <v>8357142.8499999996</v>
      </c>
      <c r="K163" s="22">
        <f t="shared" si="6"/>
        <v>8357142.8499999996</v>
      </c>
      <c r="L163" s="22"/>
      <c r="M163" s="22"/>
      <c r="N163" s="22"/>
      <c r="O163" s="60" t="s">
        <v>446</v>
      </c>
      <c r="P163" s="24"/>
      <c r="Q163"/>
      <c r="R163"/>
      <c r="S163"/>
      <c r="T163"/>
      <c r="U163"/>
      <c r="V163"/>
      <c r="W163"/>
      <c r="X163"/>
      <c r="Y163"/>
    </row>
    <row r="164" spans="1:25" s="8" customFormat="1" ht="39" x14ac:dyDescent="0.25">
      <c r="A164"/>
      <c r="B164" s="20" t="s">
        <v>17</v>
      </c>
      <c r="C164" s="21" t="s">
        <v>447</v>
      </c>
      <c r="D164" s="21" t="s">
        <v>448</v>
      </c>
      <c r="E164" s="21" t="s">
        <v>449</v>
      </c>
      <c r="F164" s="21" t="s">
        <v>450</v>
      </c>
      <c r="G164" s="60" t="s">
        <v>255</v>
      </c>
      <c r="H164" s="61" t="s">
        <v>245</v>
      </c>
      <c r="I164" s="22">
        <v>1</v>
      </c>
      <c r="J164" s="22">
        <f>214948800</f>
        <v>214948800</v>
      </c>
      <c r="K164" s="22">
        <f t="shared" si="6"/>
        <v>214948800</v>
      </c>
      <c r="L164" s="22"/>
      <c r="M164" s="22"/>
      <c r="N164" s="22"/>
      <c r="O164" s="60" t="s">
        <v>310</v>
      </c>
      <c r="P164" s="24"/>
      <c r="Q164"/>
      <c r="R164"/>
      <c r="S164"/>
      <c r="T164"/>
      <c r="U164"/>
      <c r="V164"/>
      <c r="W164"/>
      <c r="X164"/>
      <c r="Y164"/>
    </row>
    <row r="165" spans="1:25" s="8" customFormat="1" ht="39" x14ac:dyDescent="0.25">
      <c r="A165"/>
      <c r="B165" s="20" t="s">
        <v>17</v>
      </c>
      <c r="C165" s="21" t="s">
        <v>451</v>
      </c>
      <c r="D165" s="21" t="s">
        <v>452</v>
      </c>
      <c r="E165" s="27" t="s">
        <v>453</v>
      </c>
      <c r="F165" s="27" t="s">
        <v>454</v>
      </c>
      <c r="G165" s="62" t="s">
        <v>255</v>
      </c>
      <c r="H165" s="63" t="s">
        <v>245</v>
      </c>
      <c r="I165" s="36">
        <v>1</v>
      </c>
      <c r="J165" s="36">
        <f>20240000+10033600-1473600</f>
        <v>28800000</v>
      </c>
      <c r="K165" s="36">
        <f t="shared" si="6"/>
        <v>28800000</v>
      </c>
      <c r="L165" s="36"/>
      <c r="M165" s="36"/>
      <c r="N165" s="36"/>
      <c r="O165" s="64" t="s">
        <v>23</v>
      </c>
      <c r="P165" s="24"/>
      <c r="Q165"/>
      <c r="R165"/>
      <c r="S165"/>
      <c r="T165"/>
      <c r="U165"/>
      <c r="V165"/>
      <c r="W165"/>
      <c r="X165"/>
      <c r="Y165"/>
    </row>
    <row r="166" spans="1:25" s="8" customFormat="1" ht="39" x14ac:dyDescent="0.25">
      <c r="A166"/>
      <c r="B166" s="20" t="s">
        <v>17</v>
      </c>
      <c r="C166" s="21" t="s">
        <v>451</v>
      </c>
      <c r="D166" s="21" t="s">
        <v>452</v>
      </c>
      <c r="E166" s="21" t="s">
        <v>455</v>
      </c>
      <c r="F166" s="21" t="s">
        <v>456</v>
      </c>
      <c r="G166" s="60" t="s">
        <v>72</v>
      </c>
      <c r="H166" s="61" t="s">
        <v>245</v>
      </c>
      <c r="I166" s="22">
        <v>1</v>
      </c>
      <c r="J166" s="22">
        <f>12880000+6115200</f>
        <v>18995200</v>
      </c>
      <c r="K166" s="22">
        <f t="shared" si="6"/>
        <v>18995200</v>
      </c>
      <c r="L166" s="22"/>
      <c r="M166" s="22"/>
      <c r="N166" s="22"/>
      <c r="O166" s="64" t="s">
        <v>23</v>
      </c>
      <c r="P166" s="24"/>
      <c r="Q166"/>
      <c r="R166"/>
      <c r="S166"/>
      <c r="T166"/>
      <c r="U166"/>
      <c r="V166"/>
      <c r="W166"/>
      <c r="X166"/>
      <c r="Y166"/>
    </row>
    <row r="167" spans="1:25" s="8" customFormat="1" ht="39" x14ac:dyDescent="0.25">
      <c r="A167"/>
      <c r="B167" s="20" t="s">
        <v>17</v>
      </c>
      <c r="C167" s="21" t="s">
        <v>451</v>
      </c>
      <c r="D167" s="21" t="s">
        <v>452</v>
      </c>
      <c r="E167" s="21" t="s">
        <v>457</v>
      </c>
      <c r="F167" s="21" t="s">
        <v>458</v>
      </c>
      <c r="G167" s="60" t="s">
        <v>72</v>
      </c>
      <c r="H167" s="61" t="s">
        <v>245</v>
      </c>
      <c r="I167" s="22">
        <v>1</v>
      </c>
      <c r="J167" s="22">
        <f>13800000+6679200</f>
        <v>20479200</v>
      </c>
      <c r="K167" s="22">
        <f t="shared" si="6"/>
        <v>20479200</v>
      </c>
      <c r="L167" s="22"/>
      <c r="M167" s="22"/>
      <c r="N167" s="22"/>
      <c r="O167" s="64" t="s">
        <v>23</v>
      </c>
      <c r="P167" s="24"/>
      <c r="Q167"/>
      <c r="R167"/>
      <c r="S167"/>
      <c r="T167"/>
      <c r="U167"/>
      <c r="V167"/>
      <c r="W167"/>
      <c r="X167"/>
      <c r="Y167"/>
    </row>
    <row r="168" spans="1:25" s="8" customFormat="1" ht="39" x14ac:dyDescent="0.25">
      <c r="A168"/>
      <c r="B168" s="20" t="s">
        <v>17</v>
      </c>
      <c r="C168" s="21" t="s">
        <v>447</v>
      </c>
      <c r="D168" s="21" t="s">
        <v>448</v>
      </c>
      <c r="E168" s="21" t="s">
        <v>459</v>
      </c>
      <c r="F168" s="21" t="s">
        <v>460</v>
      </c>
      <c r="G168" s="60" t="s">
        <v>399</v>
      </c>
      <c r="H168" s="61" t="s">
        <v>245</v>
      </c>
      <c r="I168" s="22">
        <v>1</v>
      </c>
      <c r="J168" s="22">
        <f>2298403.6+841740.15</f>
        <v>3140143.75</v>
      </c>
      <c r="K168" s="22">
        <f>I168*J168</f>
        <v>3140143.75</v>
      </c>
      <c r="L168" s="22"/>
      <c r="M168" s="22"/>
      <c r="N168" s="22"/>
      <c r="O168" s="60" t="s">
        <v>310</v>
      </c>
      <c r="P168" s="24"/>
      <c r="Q168"/>
      <c r="R168"/>
      <c r="S168"/>
      <c r="T168"/>
      <c r="U168"/>
      <c r="V168"/>
      <c r="W168"/>
      <c r="X168"/>
      <c r="Y168"/>
    </row>
    <row r="169" spans="1:25" s="8" customFormat="1" ht="39" x14ac:dyDescent="0.25">
      <c r="A169"/>
      <c r="B169" s="20" t="s">
        <v>17</v>
      </c>
      <c r="C169" s="21" t="s">
        <v>447</v>
      </c>
      <c r="D169" s="21" t="s">
        <v>448</v>
      </c>
      <c r="E169" s="21" t="s">
        <v>461</v>
      </c>
      <c r="F169" s="21" t="s">
        <v>462</v>
      </c>
      <c r="G169" s="60" t="s">
        <v>399</v>
      </c>
      <c r="H169" s="61" t="s">
        <v>245</v>
      </c>
      <c r="I169" s="22">
        <v>1</v>
      </c>
      <c r="J169" s="22">
        <f>690000+200400</f>
        <v>890400</v>
      </c>
      <c r="K169" s="22">
        <f>I169*J169</f>
        <v>890400</v>
      </c>
      <c r="L169" s="22"/>
      <c r="M169" s="22"/>
      <c r="N169" s="22"/>
      <c r="O169" s="60" t="s">
        <v>310</v>
      </c>
      <c r="P169" s="24"/>
      <c r="Q169"/>
      <c r="R169"/>
      <c r="S169"/>
      <c r="T169"/>
      <c r="U169"/>
      <c r="V169"/>
      <c r="W169"/>
      <c r="X169"/>
      <c r="Y169"/>
    </row>
    <row r="170" spans="1:25" s="8" customFormat="1" ht="45.75" customHeight="1" x14ac:dyDescent="0.25">
      <c r="A170"/>
      <c r="B170" s="20" t="s">
        <v>17</v>
      </c>
      <c r="C170" s="21" t="s">
        <v>427</v>
      </c>
      <c r="D170" s="21" t="s">
        <v>428</v>
      </c>
      <c r="E170" s="21" t="s">
        <v>464</v>
      </c>
      <c r="F170" s="21" t="s">
        <v>465</v>
      </c>
      <c r="G170" s="60" t="s">
        <v>399</v>
      </c>
      <c r="H170" s="61" t="s">
        <v>245</v>
      </c>
      <c r="I170" s="22">
        <v>1</v>
      </c>
      <c r="J170" s="22">
        <v>1742400</v>
      </c>
      <c r="K170" s="22">
        <f t="shared" si="6"/>
        <v>1742400</v>
      </c>
      <c r="L170" s="22"/>
      <c r="M170" s="22"/>
      <c r="N170" s="22"/>
      <c r="O170" s="60" t="s">
        <v>78</v>
      </c>
      <c r="P170" s="24"/>
      <c r="Q170"/>
      <c r="R170"/>
      <c r="S170"/>
      <c r="T170"/>
      <c r="U170"/>
      <c r="V170"/>
      <c r="W170"/>
      <c r="X170"/>
      <c r="Y170"/>
    </row>
    <row r="171" spans="1:25" s="8" customFormat="1" ht="39" x14ac:dyDescent="0.25">
      <c r="A171"/>
      <c r="B171" s="20" t="s">
        <v>17</v>
      </c>
      <c r="C171" s="21" t="s">
        <v>451</v>
      </c>
      <c r="D171" s="21" t="s">
        <v>452</v>
      </c>
      <c r="E171" s="21" t="s">
        <v>466</v>
      </c>
      <c r="F171" s="21" t="s">
        <v>467</v>
      </c>
      <c r="G171" s="60" t="s">
        <v>399</v>
      </c>
      <c r="H171" s="61" t="s">
        <v>245</v>
      </c>
      <c r="I171" s="22">
        <v>1</v>
      </c>
      <c r="J171" s="22">
        <v>827999.99999999988</v>
      </c>
      <c r="K171" s="22">
        <f t="shared" si="6"/>
        <v>827999.99999999988</v>
      </c>
      <c r="L171" s="22"/>
      <c r="M171" s="22"/>
      <c r="N171" s="22"/>
      <c r="O171" s="60" t="s">
        <v>310</v>
      </c>
      <c r="P171" s="24"/>
      <c r="Q171"/>
      <c r="R171"/>
      <c r="S171"/>
      <c r="T171"/>
      <c r="U171"/>
      <c r="V171"/>
      <c r="W171"/>
      <c r="X171"/>
      <c r="Y171"/>
    </row>
    <row r="172" spans="1:25" s="8" customFormat="1" ht="64.5" x14ac:dyDescent="0.25">
      <c r="A172"/>
      <c r="B172" s="20" t="s">
        <v>17</v>
      </c>
      <c r="C172" s="21" t="s">
        <v>468</v>
      </c>
      <c r="D172" s="21" t="s">
        <v>469</v>
      </c>
      <c r="E172" s="21" t="s">
        <v>470</v>
      </c>
      <c r="F172" s="21" t="s">
        <v>471</v>
      </c>
      <c r="G172" s="60" t="s">
        <v>72</v>
      </c>
      <c r="H172" s="61" t="s">
        <v>245</v>
      </c>
      <c r="I172" s="22">
        <v>1</v>
      </c>
      <c r="J172" s="22">
        <v>12300599.999999998</v>
      </c>
      <c r="K172" s="22">
        <f t="shared" si="6"/>
        <v>12300599.999999998</v>
      </c>
      <c r="L172" s="22"/>
      <c r="M172" s="22"/>
      <c r="N172" s="22"/>
      <c r="O172" s="60" t="s">
        <v>26</v>
      </c>
      <c r="P172" s="24"/>
      <c r="Q172"/>
      <c r="R172"/>
      <c r="S172"/>
      <c r="T172"/>
      <c r="U172"/>
      <c r="V172"/>
      <c r="W172"/>
      <c r="X172"/>
      <c r="Y172"/>
    </row>
    <row r="173" spans="1:25" s="8" customFormat="1" ht="39" x14ac:dyDescent="0.25">
      <c r="A173"/>
      <c r="B173" s="20" t="s">
        <v>17</v>
      </c>
      <c r="C173" s="21" t="s">
        <v>447</v>
      </c>
      <c r="D173" s="21" t="s">
        <v>448</v>
      </c>
      <c r="E173" s="21" t="s">
        <v>472</v>
      </c>
      <c r="F173" s="21" t="s">
        <v>473</v>
      </c>
      <c r="G173" s="60" t="s">
        <v>399</v>
      </c>
      <c r="H173" s="61" t="s">
        <v>245</v>
      </c>
      <c r="I173" s="22">
        <v>1</v>
      </c>
      <c r="J173" s="22">
        <v>7903340.2000000002</v>
      </c>
      <c r="K173" s="22">
        <f>I173*J173</f>
        <v>7903340.2000000002</v>
      </c>
      <c r="L173" s="22"/>
      <c r="M173" s="22"/>
      <c r="N173" s="22"/>
      <c r="O173" s="60" t="s">
        <v>310</v>
      </c>
      <c r="P173" s="24"/>
      <c r="Q173"/>
      <c r="R173"/>
      <c r="S173"/>
      <c r="T173"/>
      <c r="U173"/>
      <c r="V173"/>
      <c r="W173"/>
      <c r="X173"/>
      <c r="Y173"/>
    </row>
    <row r="174" spans="1:25" s="8" customFormat="1" ht="39" x14ac:dyDescent="0.25">
      <c r="A174"/>
      <c r="B174" s="20" t="s">
        <v>17</v>
      </c>
      <c r="C174" s="21" t="s">
        <v>451</v>
      </c>
      <c r="D174" s="21" t="s">
        <v>452</v>
      </c>
      <c r="E174" s="21" t="s">
        <v>474</v>
      </c>
      <c r="F174" s="21" t="s">
        <v>475</v>
      </c>
      <c r="G174" s="60" t="s">
        <v>399</v>
      </c>
      <c r="H174" s="61" t="s">
        <v>245</v>
      </c>
      <c r="I174" s="22">
        <v>1</v>
      </c>
      <c r="J174" s="22">
        <v>8293892.8499999996</v>
      </c>
      <c r="K174" s="22">
        <f t="shared" si="6"/>
        <v>8293892.8499999996</v>
      </c>
      <c r="L174" s="22"/>
      <c r="M174" s="22"/>
      <c r="N174" s="22"/>
      <c r="O174" s="60" t="s">
        <v>310</v>
      </c>
      <c r="P174" s="24"/>
      <c r="Q174"/>
      <c r="R174"/>
      <c r="S174"/>
      <c r="T174"/>
      <c r="U174"/>
      <c r="V174"/>
      <c r="W174"/>
      <c r="X174"/>
      <c r="Y174"/>
    </row>
    <row r="175" spans="1:25" s="8" customFormat="1" ht="39" x14ac:dyDescent="0.25">
      <c r="A175"/>
      <c r="B175" s="20" t="s">
        <v>17</v>
      </c>
      <c r="C175" s="21" t="s">
        <v>451</v>
      </c>
      <c r="D175" s="21" t="s">
        <v>452</v>
      </c>
      <c r="E175" s="21" t="s">
        <v>476</v>
      </c>
      <c r="F175" s="21" t="s">
        <v>477</v>
      </c>
      <c r="G175" s="60" t="s">
        <v>399</v>
      </c>
      <c r="H175" s="61" t="s">
        <v>245</v>
      </c>
      <c r="I175" s="22">
        <v>1</v>
      </c>
      <c r="J175" s="22">
        <f>6116988-495330.87</f>
        <v>5621657.1299999999</v>
      </c>
      <c r="K175" s="22">
        <f t="shared" si="6"/>
        <v>5621657.1299999999</v>
      </c>
      <c r="L175" s="22"/>
      <c r="M175" s="22"/>
      <c r="N175" s="22"/>
      <c r="O175" s="60" t="s">
        <v>305</v>
      </c>
      <c r="P175" s="24"/>
      <c r="Q175"/>
      <c r="R175"/>
      <c r="S175"/>
      <c r="T175"/>
      <c r="U175"/>
      <c r="V175"/>
      <c r="W175"/>
      <c r="X175"/>
      <c r="Y175"/>
    </row>
    <row r="176" spans="1:25" s="8" customFormat="1" ht="39" x14ac:dyDescent="0.25">
      <c r="A176"/>
      <c r="B176" s="20" t="s">
        <v>17</v>
      </c>
      <c r="C176" s="21" t="s">
        <v>447</v>
      </c>
      <c r="D176" s="21" t="s">
        <v>448</v>
      </c>
      <c r="E176" s="21" t="s">
        <v>478</v>
      </c>
      <c r="F176" s="21" t="s">
        <v>479</v>
      </c>
      <c r="G176" s="60" t="s">
        <v>72</v>
      </c>
      <c r="H176" s="61" t="s">
        <v>245</v>
      </c>
      <c r="I176" s="22">
        <v>1</v>
      </c>
      <c r="J176" s="22">
        <v>39486607.149999999</v>
      </c>
      <c r="K176" s="22">
        <f t="shared" si="6"/>
        <v>39486607.149999999</v>
      </c>
      <c r="L176" s="22"/>
      <c r="M176" s="22"/>
      <c r="N176" s="22"/>
      <c r="O176" s="60" t="s">
        <v>52</v>
      </c>
      <c r="P176" s="24"/>
      <c r="Q176"/>
      <c r="R176"/>
      <c r="S176"/>
      <c r="T176"/>
      <c r="U176"/>
      <c r="V176"/>
      <c r="W176"/>
      <c r="X176"/>
      <c r="Y176"/>
    </row>
    <row r="177" spans="1:25" s="8" customFormat="1" ht="39" x14ac:dyDescent="0.25">
      <c r="A177"/>
      <c r="B177" s="20" t="s">
        <v>17</v>
      </c>
      <c r="C177" s="21" t="s">
        <v>447</v>
      </c>
      <c r="D177" s="21" t="s">
        <v>448</v>
      </c>
      <c r="E177" s="21" t="s">
        <v>480</v>
      </c>
      <c r="F177" s="21" t="s">
        <v>481</v>
      </c>
      <c r="G177" s="60" t="s">
        <v>255</v>
      </c>
      <c r="H177" s="61" t="s">
        <v>245</v>
      </c>
      <c r="I177" s="22">
        <v>1</v>
      </c>
      <c r="J177" s="22">
        <v>25256340</v>
      </c>
      <c r="K177" s="22">
        <f t="shared" si="6"/>
        <v>25256340</v>
      </c>
      <c r="L177" s="22"/>
      <c r="M177" s="22"/>
      <c r="N177" s="22"/>
      <c r="O177" s="60" t="s">
        <v>52</v>
      </c>
      <c r="P177" s="24"/>
      <c r="Q177"/>
      <c r="R177"/>
      <c r="S177"/>
      <c r="T177"/>
      <c r="U177"/>
      <c r="V177"/>
      <c r="W177"/>
      <c r="X177"/>
      <c r="Y177"/>
    </row>
    <row r="178" spans="1:25" s="8" customFormat="1" ht="39" x14ac:dyDescent="0.25">
      <c r="A178"/>
      <c r="B178" s="20" t="s">
        <v>17</v>
      </c>
      <c r="C178" s="21" t="s">
        <v>447</v>
      </c>
      <c r="D178" s="21" t="s">
        <v>448</v>
      </c>
      <c r="E178" s="21" t="s">
        <v>482</v>
      </c>
      <c r="F178" s="21" t="s">
        <v>483</v>
      </c>
      <c r="G178" s="60" t="s">
        <v>255</v>
      </c>
      <c r="H178" s="61" t="s">
        <v>245</v>
      </c>
      <c r="I178" s="22">
        <v>1</v>
      </c>
      <c r="J178" s="22">
        <f>10637326.5-106326.5</f>
        <v>10531000</v>
      </c>
      <c r="K178" s="22">
        <f t="shared" si="6"/>
        <v>10531000</v>
      </c>
      <c r="L178" s="22"/>
      <c r="M178" s="22"/>
      <c r="N178" s="22"/>
      <c r="O178" s="60" t="s">
        <v>26</v>
      </c>
      <c r="P178" s="24"/>
      <c r="Q178"/>
      <c r="R178"/>
      <c r="S178"/>
      <c r="T178"/>
      <c r="U178"/>
      <c r="V178"/>
      <c r="W178"/>
      <c r="X178"/>
      <c r="Y178"/>
    </row>
    <row r="179" spans="1:25" s="8" customFormat="1" ht="39" x14ac:dyDescent="0.25">
      <c r="A179"/>
      <c r="B179" s="20" t="s">
        <v>17</v>
      </c>
      <c r="C179" s="21" t="s">
        <v>447</v>
      </c>
      <c r="D179" s="21" t="s">
        <v>448</v>
      </c>
      <c r="E179" s="21" t="s">
        <v>484</v>
      </c>
      <c r="F179" s="21" t="s">
        <v>485</v>
      </c>
      <c r="G179" s="60" t="s">
        <v>399</v>
      </c>
      <c r="H179" s="61" t="s">
        <v>245</v>
      </c>
      <c r="I179" s="22">
        <v>1</v>
      </c>
      <c r="J179" s="22">
        <v>2773575.25</v>
      </c>
      <c r="K179" s="22">
        <f t="shared" si="6"/>
        <v>2773575.25</v>
      </c>
      <c r="L179" s="22"/>
      <c r="M179" s="22"/>
      <c r="N179" s="22"/>
      <c r="O179" s="60" t="s">
        <v>52</v>
      </c>
      <c r="P179" s="24"/>
      <c r="Q179"/>
      <c r="R179"/>
      <c r="S179"/>
      <c r="T179"/>
      <c r="U179"/>
      <c r="V179"/>
      <c r="W179"/>
      <c r="X179"/>
      <c r="Y179"/>
    </row>
    <row r="180" spans="1:25" s="8" customFormat="1" ht="51.75" x14ac:dyDescent="0.25">
      <c r="A180"/>
      <c r="B180" s="20" t="s">
        <v>17</v>
      </c>
      <c r="C180" s="21" t="s">
        <v>447</v>
      </c>
      <c r="D180" s="21" t="s">
        <v>448</v>
      </c>
      <c r="E180" s="21" t="s">
        <v>486</v>
      </c>
      <c r="F180" s="21" t="s">
        <v>487</v>
      </c>
      <c r="G180" s="60" t="s">
        <v>399</v>
      </c>
      <c r="H180" s="61" t="s">
        <v>245</v>
      </c>
      <c r="I180" s="22">
        <v>1</v>
      </c>
      <c r="J180" s="22">
        <v>229319.99999999997</v>
      </c>
      <c r="K180" s="22">
        <f t="shared" si="6"/>
        <v>229319.99999999997</v>
      </c>
      <c r="L180" s="22"/>
      <c r="M180" s="22"/>
      <c r="N180" s="22"/>
      <c r="O180" s="60" t="s">
        <v>310</v>
      </c>
      <c r="P180" s="24"/>
      <c r="Q180"/>
      <c r="R180"/>
      <c r="S180"/>
      <c r="T180"/>
      <c r="U180"/>
      <c r="V180"/>
      <c r="W180"/>
      <c r="X180"/>
      <c r="Y180"/>
    </row>
    <row r="181" spans="1:25" s="8" customFormat="1" ht="39" x14ac:dyDescent="0.25">
      <c r="A181"/>
      <c r="B181" s="20" t="s">
        <v>17</v>
      </c>
      <c r="C181" s="21" t="s">
        <v>447</v>
      </c>
      <c r="D181" s="21" t="s">
        <v>448</v>
      </c>
      <c r="E181" s="21" t="s">
        <v>488</v>
      </c>
      <c r="F181" s="21" t="s">
        <v>489</v>
      </c>
      <c r="G181" s="60" t="s">
        <v>399</v>
      </c>
      <c r="H181" s="61" t="s">
        <v>245</v>
      </c>
      <c r="I181" s="22">
        <v>1</v>
      </c>
      <c r="J181" s="22">
        <v>675500</v>
      </c>
      <c r="K181" s="22">
        <f t="shared" si="6"/>
        <v>675500</v>
      </c>
      <c r="L181" s="22"/>
      <c r="M181" s="22"/>
      <c r="N181" s="22"/>
      <c r="O181" s="60" t="s">
        <v>310</v>
      </c>
      <c r="P181" s="24"/>
      <c r="Q181"/>
      <c r="R181"/>
      <c r="S181"/>
      <c r="T181"/>
      <c r="U181"/>
      <c r="V181"/>
      <c r="W181"/>
      <c r="X181"/>
      <c r="Y181"/>
    </row>
    <row r="182" spans="1:25" s="8" customFormat="1" ht="39" x14ac:dyDescent="0.25">
      <c r="A182"/>
      <c r="B182" s="20" t="s">
        <v>17</v>
      </c>
      <c r="C182" s="21" t="s">
        <v>447</v>
      </c>
      <c r="D182" s="21" t="s">
        <v>448</v>
      </c>
      <c r="E182" s="21" t="s">
        <v>490</v>
      </c>
      <c r="F182" s="21" t="s">
        <v>491</v>
      </c>
      <c r="G182" s="60" t="s">
        <v>21</v>
      </c>
      <c r="H182" s="61" t="s">
        <v>245</v>
      </c>
      <c r="I182" s="22">
        <v>1</v>
      </c>
      <c r="J182" s="22">
        <f>3490882.5-407129.82</f>
        <v>3083752.68</v>
      </c>
      <c r="K182" s="22">
        <f t="shared" si="6"/>
        <v>3083752.68</v>
      </c>
      <c r="L182" s="22"/>
      <c r="M182" s="22"/>
      <c r="N182" s="22"/>
      <c r="O182" s="60" t="s">
        <v>23</v>
      </c>
      <c r="P182" s="24"/>
      <c r="Q182"/>
      <c r="R182"/>
      <c r="S182"/>
      <c r="T182"/>
      <c r="U182"/>
      <c r="V182"/>
      <c r="W182"/>
      <c r="X182"/>
      <c r="Y182"/>
    </row>
    <row r="183" spans="1:25" s="8" customFormat="1" ht="39" x14ac:dyDescent="0.25">
      <c r="A183"/>
      <c r="B183" s="20" t="s">
        <v>17</v>
      </c>
      <c r="C183" s="21" t="s">
        <v>447</v>
      </c>
      <c r="D183" s="21" t="s">
        <v>448</v>
      </c>
      <c r="E183" s="21" t="s">
        <v>492</v>
      </c>
      <c r="F183" s="21" t="s">
        <v>493</v>
      </c>
      <c r="G183" s="60" t="s">
        <v>21</v>
      </c>
      <c r="H183" s="61" t="s">
        <v>245</v>
      </c>
      <c r="I183" s="22">
        <v>1</v>
      </c>
      <c r="J183" s="22">
        <v>6927227.9999999991</v>
      </c>
      <c r="K183" s="22">
        <f t="shared" si="6"/>
        <v>6927227.9999999991</v>
      </c>
      <c r="L183" s="22"/>
      <c r="M183" s="22"/>
      <c r="N183" s="22"/>
      <c r="O183" s="60" t="s">
        <v>52</v>
      </c>
      <c r="P183" s="24"/>
      <c r="Q183"/>
      <c r="R183"/>
      <c r="S183"/>
      <c r="T183"/>
      <c r="U183"/>
      <c r="V183"/>
      <c r="W183"/>
      <c r="X183"/>
      <c r="Y183"/>
    </row>
    <row r="184" spans="1:25" s="8" customFormat="1" ht="39" x14ac:dyDescent="0.25">
      <c r="A184"/>
      <c r="B184" s="20" t="s">
        <v>17</v>
      </c>
      <c r="C184" s="21" t="s">
        <v>451</v>
      </c>
      <c r="D184" s="21" t="s">
        <v>452</v>
      </c>
      <c r="E184" s="21" t="s">
        <v>494</v>
      </c>
      <c r="F184" s="21" t="s">
        <v>495</v>
      </c>
      <c r="G184" s="60" t="s">
        <v>21</v>
      </c>
      <c r="H184" s="61" t="s">
        <v>245</v>
      </c>
      <c r="I184" s="22">
        <v>1</v>
      </c>
      <c r="J184" s="22">
        <v>3827199.9999999995</v>
      </c>
      <c r="K184" s="22">
        <f t="shared" si="6"/>
        <v>3827199.9999999995</v>
      </c>
      <c r="L184" s="22"/>
      <c r="M184" s="22"/>
      <c r="N184" s="22"/>
      <c r="O184" s="60" t="s">
        <v>26</v>
      </c>
      <c r="P184" s="24"/>
      <c r="Q184"/>
      <c r="R184"/>
      <c r="S184"/>
      <c r="T184"/>
      <c r="U184"/>
      <c r="V184"/>
      <c r="W184"/>
      <c r="X184"/>
      <c r="Y184"/>
    </row>
    <row r="185" spans="1:25" s="8" customFormat="1" ht="39" x14ac:dyDescent="0.25">
      <c r="A185"/>
      <c r="B185" s="20" t="s">
        <v>17</v>
      </c>
      <c r="C185" s="21" t="s">
        <v>447</v>
      </c>
      <c r="D185" s="21" t="s">
        <v>448</v>
      </c>
      <c r="E185" s="21" t="s">
        <v>496</v>
      </c>
      <c r="F185" s="21" t="s">
        <v>497</v>
      </c>
      <c r="G185" s="60" t="s">
        <v>21</v>
      </c>
      <c r="H185" s="61" t="s">
        <v>245</v>
      </c>
      <c r="I185" s="22">
        <v>1</v>
      </c>
      <c r="J185" s="22">
        <f>7468971.4-3768814.26</f>
        <v>3700157.1400000006</v>
      </c>
      <c r="K185" s="22">
        <f t="shared" si="6"/>
        <v>3700157.1400000006</v>
      </c>
      <c r="L185" s="22"/>
      <c r="M185" s="22"/>
      <c r="N185" s="22"/>
      <c r="O185" s="60" t="s">
        <v>23</v>
      </c>
      <c r="P185" s="24"/>
      <c r="Q185"/>
      <c r="R185"/>
      <c r="S185"/>
      <c r="T185"/>
      <c r="U185"/>
      <c r="V185"/>
      <c r="W185"/>
      <c r="X185"/>
      <c r="Y185"/>
    </row>
    <row r="186" spans="1:25" s="8" customFormat="1" ht="57" customHeight="1" x14ac:dyDescent="0.25">
      <c r="A186"/>
      <c r="B186" s="20" t="s">
        <v>17</v>
      </c>
      <c r="C186" s="21" t="s">
        <v>447</v>
      </c>
      <c r="D186" s="21" t="s">
        <v>448</v>
      </c>
      <c r="E186" s="21" t="s">
        <v>498</v>
      </c>
      <c r="F186" s="21" t="s">
        <v>499</v>
      </c>
      <c r="G186" s="60" t="s">
        <v>21</v>
      </c>
      <c r="H186" s="61" t="s">
        <v>245</v>
      </c>
      <c r="I186" s="22">
        <v>1</v>
      </c>
      <c r="J186" s="22">
        <v>690000</v>
      </c>
      <c r="K186" s="22">
        <f t="shared" si="6"/>
        <v>690000</v>
      </c>
      <c r="L186" s="22"/>
      <c r="M186" s="22"/>
      <c r="N186" s="22"/>
      <c r="O186" s="60" t="s">
        <v>23</v>
      </c>
      <c r="P186" s="24"/>
      <c r="Q186"/>
      <c r="R186"/>
      <c r="S186"/>
      <c r="T186"/>
      <c r="U186"/>
      <c r="V186"/>
      <c r="W186"/>
      <c r="X186"/>
      <c r="Y186"/>
    </row>
    <row r="187" spans="1:25" s="8" customFormat="1" ht="64.5" x14ac:dyDescent="0.25">
      <c r="A187"/>
      <c r="B187" s="20" t="s">
        <v>17</v>
      </c>
      <c r="C187" s="21" t="s">
        <v>447</v>
      </c>
      <c r="D187" s="21" t="s">
        <v>448</v>
      </c>
      <c r="E187" s="21" t="s">
        <v>500</v>
      </c>
      <c r="F187" s="21" t="s">
        <v>501</v>
      </c>
      <c r="G187" s="60" t="s">
        <v>21</v>
      </c>
      <c r="H187" s="61" t="s">
        <v>245</v>
      </c>
      <c r="I187" s="22">
        <v>1</v>
      </c>
      <c r="J187" s="22">
        <v>828000</v>
      </c>
      <c r="K187" s="22">
        <f t="shared" si="6"/>
        <v>828000</v>
      </c>
      <c r="L187" s="22"/>
      <c r="M187" s="22"/>
      <c r="N187" s="22"/>
      <c r="O187" s="60" t="s">
        <v>23</v>
      </c>
      <c r="P187" s="24"/>
      <c r="Q187"/>
      <c r="R187"/>
      <c r="S187"/>
      <c r="T187"/>
      <c r="U187"/>
      <c r="V187"/>
      <c r="W187"/>
      <c r="X187"/>
      <c r="Y187"/>
    </row>
    <row r="188" spans="1:25" s="8" customFormat="1" ht="82.5" customHeight="1" x14ac:dyDescent="0.25">
      <c r="A188"/>
      <c r="B188" s="20" t="s">
        <v>17</v>
      </c>
      <c r="C188" s="21" t="s">
        <v>447</v>
      </c>
      <c r="D188" s="21" t="s">
        <v>448</v>
      </c>
      <c r="E188" s="21" t="s">
        <v>502</v>
      </c>
      <c r="F188" s="21" t="s">
        <v>503</v>
      </c>
      <c r="G188" s="60" t="s">
        <v>21</v>
      </c>
      <c r="H188" s="61" t="s">
        <v>245</v>
      </c>
      <c r="I188" s="22">
        <v>1</v>
      </c>
      <c r="J188" s="22">
        <v>258888</v>
      </c>
      <c r="K188" s="22">
        <f t="shared" si="6"/>
        <v>258888</v>
      </c>
      <c r="L188" s="22"/>
      <c r="M188" s="22"/>
      <c r="N188" s="22"/>
      <c r="O188" s="60" t="s">
        <v>23</v>
      </c>
      <c r="P188" s="24"/>
      <c r="Q188"/>
      <c r="R188"/>
      <c r="S188"/>
      <c r="T188"/>
      <c r="U188"/>
      <c r="V188"/>
      <c r="W188"/>
      <c r="X188"/>
      <c r="Y188"/>
    </row>
    <row r="189" spans="1:25" s="8" customFormat="1" ht="102" customHeight="1" x14ac:dyDescent="0.25">
      <c r="A189"/>
      <c r="B189" s="20" t="s">
        <v>17</v>
      </c>
      <c r="C189" s="21" t="s">
        <v>447</v>
      </c>
      <c r="D189" s="21" t="s">
        <v>448</v>
      </c>
      <c r="E189" s="21" t="s">
        <v>504</v>
      </c>
      <c r="F189" s="21" t="s">
        <v>505</v>
      </c>
      <c r="G189" s="60" t="s">
        <v>21</v>
      </c>
      <c r="H189" s="61" t="s">
        <v>245</v>
      </c>
      <c r="I189" s="22">
        <v>1</v>
      </c>
      <c r="J189" s="22">
        <v>55155.6</v>
      </c>
      <c r="K189" s="22">
        <f t="shared" si="6"/>
        <v>55155.6</v>
      </c>
      <c r="L189" s="22"/>
      <c r="M189" s="22"/>
      <c r="N189" s="22"/>
      <c r="O189" s="60" t="s">
        <v>23</v>
      </c>
      <c r="P189" s="24"/>
      <c r="Q189"/>
      <c r="R189"/>
      <c r="S189"/>
      <c r="T189"/>
      <c r="U189"/>
      <c r="V189"/>
      <c r="W189"/>
      <c r="X189"/>
      <c r="Y189"/>
    </row>
    <row r="190" spans="1:25" s="8" customFormat="1" ht="39" x14ac:dyDescent="0.25">
      <c r="A190"/>
      <c r="B190" s="20" t="s">
        <v>17</v>
      </c>
      <c r="C190" s="21" t="s">
        <v>447</v>
      </c>
      <c r="D190" s="21" t="s">
        <v>448</v>
      </c>
      <c r="E190" s="21" t="s">
        <v>506</v>
      </c>
      <c r="F190" s="21" t="s">
        <v>507</v>
      </c>
      <c r="G190" s="60" t="s">
        <v>21</v>
      </c>
      <c r="H190" s="61" t="s">
        <v>245</v>
      </c>
      <c r="I190" s="22">
        <v>1</v>
      </c>
      <c r="J190" s="22">
        <f>9553050+2016661.61</f>
        <v>11569711.609999999</v>
      </c>
      <c r="K190" s="22">
        <f t="shared" si="6"/>
        <v>11569711.609999999</v>
      </c>
      <c r="L190" s="22"/>
      <c r="M190" s="22"/>
      <c r="N190" s="22"/>
      <c r="O190" s="60" t="s">
        <v>305</v>
      </c>
      <c r="P190" s="24"/>
      <c r="Q190"/>
      <c r="R190"/>
      <c r="S190"/>
      <c r="T190"/>
      <c r="U190"/>
      <c r="V190"/>
      <c r="W190"/>
      <c r="X190"/>
      <c r="Y190"/>
    </row>
    <row r="191" spans="1:25" s="8" customFormat="1" ht="39" x14ac:dyDescent="0.25">
      <c r="A191"/>
      <c r="B191" s="20" t="s">
        <v>17</v>
      </c>
      <c r="C191" s="21" t="s">
        <v>447</v>
      </c>
      <c r="D191" s="21" t="s">
        <v>448</v>
      </c>
      <c r="E191" s="21" t="s">
        <v>508</v>
      </c>
      <c r="F191" s="21" t="s">
        <v>509</v>
      </c>
      <c r="G191" s="60" t="s">
        <v>21</v>
      </c>
      <c r="H191" s="61" t="s">
        <v>245</v>
      </c>
      <c r="I191" s="22">
        <v>1</v>
      </c>
      <c r="J191" s="22">
        <v>139285.71</v>
      </c>
      <c r="K191" s="22">
        <f t="shared" si="6"/>
        <v>139285.71</v>
      </c>
      <c r="L191" s="22"/>
      <c r="M191" s="22"/>
      <c r="N191" s="22"/>
      <c r="O191" s="60" t="s">
        <v>305</v>
      </c>
      <c r="P191" s="24"/>
      <c r="Q191"/>
      <c r="R191"/>
      <c r="S191"/>
      <c r="T191"/>
      <c r="U191"/>
      <c r="V191"/>
      <c r="W191"/>
      <c r="X191"/>
      <c r="Y191"/>
    </row>
    <row r="192" spans="1:25" s="8" customFormat="1" ht="39" x14ac:dyDescent="0.25">
      <c r="A192"/>
      <c r="B192" s="20" t="s">
        <v>17</v>
      </c>
      <c r="C192" s="21" t="s">
        <v>447</v>
      </c>
      <c r="D192" s="21" t="s">
        <v>448</v>
      </c>
      <c r="E192" s="21" t="s">
        <v>510</v>
      </c>
      <c r="F192" s="21" t="s">
        <v>511</v>
      </c>
      <c r="G192" s="60" t="s">
        <v>255</v>
      </c>
      <c r="H192" s="61" t="s">
        <v>245</v>
      </c>
      <c r="I192" s="22">
        <v>1</v>
      </c>
      <c r="J192" s="22">
        <v>191960759.84999999</v>
      </c>
      <c r="K192" s="22">
        <f t="shared" si="6"/>
        <v>191960759.84999999</v>
      </c>
      <c r="L192" s="22"/>
      <c r="M192" s="22"/>
      <c r="N192" s="22"/>
      <c r="O192" s="60" t="s">
        <v>52</v>
      </c>
      <c r="P192" s="34"/>
      <c r="Q192"/>
      <c r="R192"/>
      <c r="S192"/>
      <c r="T192"/>
      <c r="U192"/>
      <c r="V192"/>
      <c r="W192"/>
      <c r="X192"/>
      <c r="Y192"/>
    </row>
    <row r="193" spans="1:25" s="8" customFormat="1" ht="39" x14ac:dyDescent="0.25">
      <c r="A193"/>
      <c r="B193" s="20" t="s">
        <v>17</v>
      </c>
      <c r="C193" s="21" t="s">
        <v>447</v>
      </c>
      <c r="D193" s="21" t="s">
        <v>448</v>
      </c>
      <c r="E193" s="21" t="s">
        <v>512</v>
      </c>
      <c r="F193" s="21" t="s">
        <v>513</v>
      </c>
      <c r="G193" s="60" t="s">
        <v>255</v>
      </c>
      <c r="H193" s="61" t="s">
        <v>245</v>
      </c>
      <c r="I193" s="22">
        <v>1</v>
      </c>
      <c r="J193" s="22">
        <f>205370039.06+115911522.55</f>
        <v>321281561.61000001</v>
      </c>
      <c r="K193" s="22">
        <f t="shared" si="6"/>
        <v>321281561.61000001</v>
      </c>
      <c r="L193" s="22"/>
      <c r="M193" s="22"/>
      <c r="N193" s="22"/>
      <c r="O193" s="60" t="s">
        <v>78</v>
      </c>
      <c r="P193" s="34"/>
      <c r="Q193"/>
      <c r="R193"/>
      <c r="S193"/>
      <c r="T193"/>
      <c r="U193"/>
      <c r="V193"/>
      <c r="W193"/>
      <c r="X193"/>
      <c r="Y193"/>
    </row>
    <row r="194" spans="1:25" s="8" customFormat="1" ht="39" x14ac:dyDescent="0.25">
      <c r="A194"/>
      <c r="B194" s="20" t="s">
        <v>17</v>
      </c>
      <c r="C194" s="21" t="s">
        <v>447</v>
      </c>
      <c r="D194" s="21" t="s">
        <v>448</v>
      </c>
      <c r="E194" s="21" t="s">
        <v>514</v>
      </c>
      <c r="F194" s="21" t="s">
        <v>515</v>
      </c>
      <c r="G194" s="60" t="s">
        <v>255</v>
      </c>
      <c r="H194" s="61" t="s">
        <v>245</v>
      </c>
      <c r="I194" s="22">
        <v>1</v>
      </c>
      <c r="J194" s="22">
        <f>28908700-2708700</f>
        <v>26200000</v>
      </c>
      <c r="K194" s="22">
        <f t="shared" si="6"/>
        <v>26200000</v>
      </c>
      <c r="L194" s="22"/>
      <c r="M194" s="22"/>
      <c r="N194" s="22"/>
      <c r="O194" s="60" t="s">
        <v>52</v>
      </c>
      <c r="P194" s="34"/>
      <c r="Q194"/>
      <c r="R194"/>
      <c r="S194"/>
      <c r="T194"/>
      <c r="U194"/>
      <c r="V194"/>
      <c r="W194"/>
      <c r="X194"/>
      <c r="Y194"/>
    </row>
    <row r="195" spans="1:25" s="8" customFormat="1" ht="39" x14ac:dyDescent="0.25">
      <c r="A195"/>
      <c r="B195" s="20" t="s">
        <v>17</v>
      </c>
      <c r="C195" s="21" t="s">
        <v>447</v>
      </c>
      <c r="D195" s="21" t="s">
        <v>448</v>
      </c>
      <c r="E195" s="21" t="s">
        <v>516</v>
      </c>
      <c r="F195" s="21" t="s">
        <v>517</v>
      </c>
      <c r="G195" s="60" t="s">
        <v>255</v>
      </c>
      <c r="H195" s="61" t="s">
        <v>245</v>
      </c>
      <c r="I195" s="22">
        <v>1</v>
      </c>
      <c r="J195" s="22">
        <v>18310669.640000001</v>
      </c>
      <c r="K195" s="22">
        <f t="shared" si="6"/>
        <v>18310669.640000001</v>
      </c>
      <c r="L195" s="22"/>
      <c r="M195" s="22"/>
      <c r="N195" s="22"/>
      <c r="O195" s="60" t="s">
        <v>78</v>
      </c>
      <c r="P195" s="34"/>
      <c r="Q195"/>
      <c r="R195"/>
      <c r="S195"/>
      <c r="T195"/>
      <c r="U195"/>
      <c r="V195"/>
      <c r="W195"/>
      <c r="X195"/>
      <c r="Y195"/>
    </row>
    <row r="196" spans="1:25" s="8" customFormat="1" ht="39" x14ac:dyDescent="0.25">
      <c r="A196"/>
      <c r="B196" s="20" t="s">
        <v>17</v>
      </c>
      <c r="C196" s="21" t="s">
        <v>447</v>
      </c>
      <c r="D196" s="21" t="s">
        <v>448</v>
      </c>
      <c r="E196" s="21" t="s">
        <v>518</v>
      </c>
      <c r="F196" s="21" t="s">
        <v>519</v>
      </c>
      <c r="G196" s="60" t="s">
        <v>255</v>
      </c>
      <c r="H196" s="61" t="s">
        <v>245</v>
      </c>
      <c r="I196" s="22">
        <v>1</v>
      </c>
      <c r="J196" s="22">
        <f>787975057-69975057</f>
        <v>718000000</v>
      </c>
      <c r="K196" s="22">
        <f>I196*J196</f>
        <v>718000000</v>
      </c>
      <c r="L196" s="22"/>
      <c r="M196" s="22"/>
      <c r="N196" s="22"/>
      <c r="O196" s="60" t="s">
        <v>52</v>
      </c>
      <c r="P196" s="34"/>
      <c r="Q196"/>
      <c r="R196"/>
      <c r="S196"/>
      <c r="T196"/>
      <c r="U196"/>
      <c r="V196"/>
      <c r="W196"/>
      <c r="X196"/>
      <c r="Y196"/>
    </row>
    <row r="197" spans="1:25" s="8" customFormat="1" ht="39" x14ac:dyDescent="0.25">
      <c r="A197"/>
      <c r="B197" s="20" t="s">
        <v>17</v>
      </c>
      <c r="C197" s="21" t="s">
        <v>447</v>
      </c>
      <c r="D197" s="21" t="s">
        <v>448</v>
      </c>
      <c r="E197" s="21" t="s">
        <v>520</v>
      </c>
      <c r="F197" s="21" t="s">
        <v>521</v>
      </c>
      <c r="G197" s="60" t="s">
        <v>21</v>
      </c>
      <c r="H197" s="61" t="s">
        <v>245</v>
      </c>
      <c r="I197" s="22">
        <v>1</v>
      </c>
      <c r="J197" s="22">
        <f>4178917+485083-653797.32</f>
        <v>4010202.68</v>
      </c>
      <c r="K197" s="22">
        <f t="shared" si="6"/>
        <v>4010202.68</v>
      </c>
      <c r="L197" s="22"/>
      <c r="M197" s="22"/>
      <c r="N197" s="22"/>
      <c r="O197" s="60" t="s">
        <v>310</v>
      </c>
      <c r="P197" s="24"/>
      <c r="Q197"/>
      <c r="R197"/>
      <c r="S197"/>
      <c r="T197"/>
      <c r="U197"/>
      <c r="V197"/>
      <c r="W197"/>
      <c r="X197"/>
      <c r="Y197"/>
    </row>
    <row r="198" spans="1:25" s="8" customFormat="1" ht="39" x14ac:dyDescent="0.25">
      <c r="A198"/>
      <c r="B198" s="20" t="s">
        <v>17</v>
      </c>
      <c r="C198" s="21" t="s">
        <v>447</v>
      </c>
      <c r="D198" s="21" t="s">
        <v>448</v>
      </c>
      <c r="E198" s="21" t="s">
        <v>522</v>
      </c>
      <c r="F198" s="21" t="s">
        <v>523</v>
      </c>
      <c r="G198" s="60" t="s">
        <v>21</v>
      </c>
      <c r="H198" s="61" t="s">
        <v>245</v>
      </c>
      <c r="I198" s="22">
        <v>1</v>
      </c>
      <c r="J198" s="22">
        <f>1663750+717221.43-106294.64</f>
        <v>2274676.79</v>
      </c>
      <c r="K198" s="22">
        <f t="shared" si="6"/>
        <v>2274676.79</v>
      </c>
      <c r="L198" s="22"/>
      <c r="M198" s="22"/>
      <c r="N198" s="22"/>
      <c r="O198" s="60" t="s">
        <v>310</v>
      </c>
      <c r="P198" s="24"/>
      <c r="R198"/>
      <c r="S198"/>
      <c r="T198"/>
      <c r="U198"/>
      <c r="V198"/>
      <c r="W198"/>
      <c r="X198"/>
      <c r="Y198"/>
    </row>
    <row r="199" spans="1:25" s="8" customFormat="1" ht="39" x14ac:dyDescent="0.25">
      <c r="A199"/>
      <c r="B199" s="20" t="s">
        <v>17</v>
      </c>
      <c r="C199" s="21" t="s">
        <v>447</v>
      </c>
      <c r="D199" s="21" t="s">
        <v>448</v>
      </c>
      <c r="E199" s="21" t="s">
        <v>524</v>
      </c>
      <c r="F199" s="21" t="s">
        <v>525</v>
      </c>
      <c r="G199" s="60" t="s">
        <v>72</v>
      </c>
      <c r="H199" s="61" t="s">
        <v>245</v>
      </c>
      <c r="I199" s="22">
        <v>1</v>
      </c>
      <c r="J199" s="22">
        <f>61735741-35224133.86-1311607.14</f>
        <v>25200000</v>
      </c>
      <c r="K199" s="22">
        <f>I199*J199</f>
        <v>25200000</v>
      </c>
      <c r="L199" s="22"/>
      <c r="M199" s="22"/>
      <c r="N199" s="22"/>
      <c r="O199" s="60" t="s">
        <v>52</v>
      </c>
      <c r="P199" s="24"/>
      <c r="R199"/>
      <c r="S199"/>
      <c r="T199"/>
      <c r="U199"/>
      <c r="V199"/>
      <c r="W199"/>
      <c r="X199"/>
      <c r="Y199"/>
    </row>
    <row r="200" spans="1:25" s="8" customFormat="1" ht="39" x14ac:dyDescent="0.25">
      <c r="A200"/>
      <c r="B200" s="20" t="s">
        <v>17</v>
      </c>
      <c r="C200" s="21" t="s">
        <v>447</v>
      </c>
      <c r="D200" s="21" t="s">
        <v>448</v>
      </c>
      <c r="E200" s="21" t="s">
        <v>526</v>
      </c>
      <c r="F200" s="21" t="s">
        <v>527</v>
      </c>
      <c r="G200" s="60" t="s">
        <v>255</v>
      </c>
      <c r="H200" s="61" t="s">
        <v>245</v>
      </c>
      <c r="I200" s="22">
        <v>1</v>
      </c>
      <c r="J200" s="22">
        <v>5755084.5700000003</v>
      </c>
      <c r="K200" s="22">
        <f>I200*J200</f>
        <v>5755084.5700000003</v>
      </c>
      <c r="L200" s="22"/>
      <c r="M200" s="22"/>
      <c r="N200" s="22"/>
      <c r="O200" s="60" t="s">
        <v>78</v>
      </c>
      <c r="P200" s="24"/>
      <c r="R200"/>
      <c r="S200"/>
      <c r="T200"/>
      <c r="U200"/>
      <c r="V200"/>
      <c r="W200"/>
      <c r="X200"/>
      <c r="Y200"/>
    </row>
    <row r="201" spans="1:25" s="8" customFormat="1" ht="39" x14ac:dyDescent="0.25">
      <c r="A201"/>
      <c r="B201" s="20" t="s">
        <v>17</v>
      </c>
      <c r="C201" s="21" t="s">
        <v>447</v>
      </c>
      <c r="D201" s="21" t="s">
        <v>448</v>
      </c>
      <c r="E201" s="21" t="s">
        <v>528</v>
      </c>
      <c r="F201" s="21" t="s">
        <v>529</v>
      </c>
      <c r="G201" s="60" t="s">
        <v>255</v>
      </c>
      <c r="H201" s="61" t="s">
        <v>245</v>
      </c>
      <c r="I201" s="22">
        <v>1</v>
      </c>
      <c r="J201" s="22">
        <v>902820.68</v>
      </c>
      <c r="K201" s="22">
        <f>I201*J201</f>
        <v>902820.68</v>
      </c>
      <c r="L201" s="22"/>
      <c r="M201" s="22"/>
      <c r="N201" s="22"/>
      <c r="O201" s="60" t="s">
        <v>78</v>
      </c>
      <c r="P201" s="24"/>
      <c r="R201"/>
      <c r="S201"/>
      <c r="T201"/>
      <c r="U201"/>
      <c r="V201"/>
      <c r="W201"/>
      <c r="X201"/>
      <c r="Y201"/>
    </row>
    <row r="202" spans="1:25" s="8" customFormat="1" ht="39" x14ac:dyDescent="0.25">
      <c r="A202"/>
      <c r="B202" s="20" t="s">
        <v>17</v>
      </c>
      <c r="C202" s="21" t="s">
        <v>447</v>
      </c>
      <c r="D202" s="21" t="s">
        <v>448</v>
      </c>
      <c r="E202" s="21" t="s">
        <v>530</v>
      </c>
      <c r="F202" s="21" t="s">
        <v>531</v>
      </c>
      <c r="G202" s="60" t="s">
        <v>255</v>
      </c>
      <c r="H202" s="61" t="s">
        <v>245</v>
      </c>
      <c r="I202" s="22">
        <v>1</v>
      </c>
      <c r="J202" s="22">
        <f>23480625-260625</f>
        <v>23220000</v>
      </c>
      <c r="K202" s="22">
        <f t="shared" si="6"/>
        <v>23220000</v>
      </c>
      <c r="L202" s="22"/>
      <c r="M202" s="22"/>
      <c r="N202" s="22"/>
      <c r="O202" s="60" t="s">
        <v>52</v>
      </c>
      <c r="P202" s="24"/>
      <c r="R202"/>
      <c r="S202"/>
      <c r="T202"/>
      <c r="U202"/>
      <c r="V202"/>
      <c r="W202"/>
      <c r="X202"/>
      <c r="Y202"/>
    </row>
    <row r="203" spans="1:25" s="8" customFormat="1" ht="39" x14ac:dyDescent="0.25">
      <c r="A203"/>
      <c r="B203" s="20" t="s">
        <v>17</v>
      </c>
      <c r="C203" s="21" t="s">
        <v>532</v>
      </c>
      <c r="D203" s="21" t="s">
        <v>533</v>
      </c>
      <c r="E203" s="21" t="s">
        <v>534</v>
      </c>
      <c r="F203" s="21" t="s">
        <v>535</v>
      </c>
      <c r="G203" s="60" t="s">
        <v>255</v>
      </c>
      <c r="H203" s="61" t="s">
        <v>245</v>
      </c>
      <c r="I203" s="22">
        <v>1</v>
      </c>
      <c r="J203" s="22">
        <v>37837028</v>
      </c>
      <c r="K203" s="22">
        <f t="shared" si="6"/>
        <v>37837028</v>
      </c>
      <c r="L203" s="22"/>
      <c r="M203" s="22"/>
      <c r="N203" s="22"/>
      <c r="O203" s="60" t="s">
        <v>52</v>
      </c>
      <c r="P203" s="24"/>
      <c r="R203"/>
      <c r="S203"/>
      <c r="T203"/>
      <c r="U203"/>
      <c r="V203"/>
      <c r="W203"/>
      <c r="X203"/>
      <c r="Y203"/>
    </row>
    <row r="204" spans="1:25" s="8" customFormat="1" ht="39" x14ac:dyDescent="0.25">
      <c r="A204"/>
      <c r="B204" s="20" t="s">
        <v>17</v>
      </c>
      <c r="C204" s="21" t="s">
        <v>447</v>
      </c>
      <c r="D204" s="21" t="s">
        <v>448</v>
      </c>
      <c r="E204" s="21" t="s">
        <v>536</v>
      </c>
      <c r="F204" s="21" t="s">
        <v>537</v>
      </c>
      <c r="G204" s="60" t="s">
        <v>255</v>
      </c>
      <c r="H204" s="61" t="s">
        <v>245</v>
      </c>
      <c r="I204" s="22">
        <v>1</v>
      </c>
      <c r="J204" s="22">
        <v>33639900</v>
      </c>
      <c r="K204" s="22">
        <f t="shared" si="6"/>
        <v>33639900</v>
      </c>
      <c r="L204" s="22"/>
      <c r="M204" s="22"/>
      <c r="N204" s="22"/>
      <c r="O204" s="60" t="s">
        <v>52</v>
      </c>
      <c r="P204" s="24"/>
      <c r="R204"/>
      <c r="S204"/>
      <c r="T204"/>
      <c r="U204"/>
      <c r="V204"/>
      <c r="W204"/>
      <c r="X204"/>
      <c r="Y204"/>
    </row>
    <row r="205" spans="1:25" s="8" customFormat="1" ht="28.5" customHeight="1" x14ac:dyDescent="0.25">
      <c r="A205"/>
      <c r="B205" s="20" t="s">
        <v>17</v>
      </c>
      <c r="C205" s="21" t="s">
        <v>538</v>
      </c>
      <c r="D205" s="21" t="s">
        <v>539</v>
      </c>
      <c r="E205" s="21" t="s">
        <v>540</v>
      </c>
      <c r="F205" s="21" t="s">
        <v>541</v>
      </c>
      <c r="G205" s="60" t="s">
        <v>255</v>
      </c>
      <c r="H205" s="61" t="s">
        <v>245</v>
      </c>
      <c r="I205" s="22">
        <v>1</v>
      </c>
      <c r="J205" s="22">
        <f>144730224-800000</f>
        <v>143930224</v>
      </c>
      <c r="K205" s="22">
        <f t="shared" si="6"/>
        <v>143930224</v>
      </c>
      <c r="L205" s="22"/>
      <c r="M205" s="22"/>
      <c r="N205" s="22"/>
      <c r="O205" s="60" t="s">
        <v>26</v>
      </c>
      <c r="P205" s="24"/>
      <c r="R205"/>
      <c r="S205"/>
      <c r="T205"/>
      <c r="U205"/>
      <c r="V205"/>
      <c r="W205"/>
      <c r="X205"/>
      <c r="Y205"/>
    </row>
    <row r="206" spans="1:25" s="8" customFormat="1" ht="30.75" customHeight="1" x14ac:dyDescent="0.25">
      <c r="A206"/>
      <c r="B206" s="20" t="s">
        <v>17</v>
      </c>
      <c r="C206" s="21" t="s">
        <v>270</v>
      </c>
      <c r="D206" s="21" t="s">
        <v>271</v>
      </c>
      <c r="E206" s="21" t="s">
        <v>542</v>
      </c>
      <c r="F206" s="21" t="s">
        <v>543</v>
      </c>
      <c r="G206" s="60" t="s">
        <v>255</v>
      </c>
      <c r="H206" s="61" t="s">
        <v>245</v>
      </c>
      <c r="I206" s="22">
        <v>1</v>
      </c>
      <c r="J206" s="22">
        <f>59598000-2996663</f>
        <v>56601337</v>
      </c>
      <c r="K206" s="22">
        <f t="shared" si="6"/>
        <v>56601337</v>
      </c>
      <c r="L206" s="22"/>
      <c r="M206" s="22"/>
      <c r="N206" s="22"/>
      <c r="O206" s="60" t="s">
        <v>26</v>
      </c>
      <c r="P206" s="24"/>
      <c r="R206"/>
      <c r="S206"/>
      <c r="T206"/>
      <c r="U206"/>
      <c r="V206"/>
      <c r="W206"/>
      <c r="X206"/>
      <c r="Y206"/>
    </row>
    <row r="207" spans="1:25" s="8" customFormat="1" ht="35.25" customHeight="1" x14ac:dyDescent="0.25">
      <c r="A207"/>
      <c r="B207" s="20" t="s">
        <v>17</v>
      </c>
      <c r="C207" s="21" t="s">
        <v>544</v>
      </c>
      <c r="D207" s="21" t="s">
        <v>545</v>
      </c>
      <c r="E207" s="21" t="s">
        <v>546</v>
      </c>
      <c r="F207" s="21" t="s">
        <v>547</v>
      </c>
      <c r="G207" s="60" t="s">
        <v>72</v>
      </c>
      <c r="H207" s="61" t="s">
        <v>245</v>
      </c>
      <c r="I207" s="22">
        <v>1</v>
      </c>
      <c r="J207" s="22">
        <v>934950</v>
      </c>
      <c r="K207" s="22">
        <f>I207*J207</f>
        <v>934950</v>
      </c>
      <c r="L207" s="22"/>
      <c r="M207" s="22"/>
      <c r="N207" s="22"/>
      <c r="O207" s="60" t="s">
        <v>310</v>
      </c>
      <c r="P207" s="24"/>
      <c r="R207"/>
      <c r="S207"/>
      <c r="T207"/>
      <c r="U207"/>
      <c r="V207"/>
      <c r="W207"/>
      <c r="X207"/>
      <c r="Y207"/>
    </row>
    <row r="208" spans="1:25" s="8" customFormat="1" ht="30" customHeight="1" x14ac:dyDescent="0.25">
      <c r="A208"/>
      <c r="B208" s="20" t="s">
        <v>17</v>
      </c>
      <c r="C208" s="21" t="s">
        <v>544</v>
      </c>
      <c r="D208" s="21" t="s">
        <v>545</v>
      </c>
      <c r="E208" s="21" t="s">
        <v>548</v>
      </c>
      <c r="F208" s="21" t="s">
        <v>549</v>
      </c>
      <c r="G208" s="60" t="s">
        <v>72</v>
      </c>
      <c r="H208" s="61" t="s">
        <v>245</v>
      </c>
      <c r="I208" s="22">
        <v>1</v>
      </c>
      <c r="J208" s="22">
        <f>2287843.7-1194762.39</f>
        <v>1093081.3100000003</v>
      </c>
      <c r="K208" s="22">
        <f>I208*J208</f>
        <v>1093081.3100000003</v>
      </c>
      <c r="L208" s="22"/>
      <c r="M208" s="22"/>
      <c r="N208" s="22"/>
      <c r="O208" s="60" t="s">
        <v>344</v>
      </c>
      <c r="P208" s="24"/>
      <c r="Q208" s="28"/>
      <c r="R208"/>
      <c r="S208"/>
      <c r="T208"/>
      <c r="U208"/>
      <c r="V208"/>
      <c r="W208"/>
      <c r="X208"/>
      <c r="Y208"/>
    </row>
    <row r="209" spans="1:25" s="8" customFormat="1" ht="39" x14ac:dyDescent="0.25">
      <c r="A209"/>
      <c r="B209" s="20" t="s">
        <v>17</v>
      </c>
      <c r="C209" s="21" t="s">
        <v>550</v>
      </c>
      <c r="D209" s="21" t="s">
        <v>551</v>
      </c>
      <c r="E209" s="21" t="s">
        <v>552</v>
      </c>
      <c r="F209" s="21" t="s">
        <v>553</v>
      </c>
      <c r="G209" s="60" t="s">
        <v>72</v>
      </c>
      <c r="H209" s="61" t="s">
        <v>245</v>
      </c>
      <c r="I209" s="22">
        <v>1</v>
      </c>
      <c r="J209" s="22">
        <v>6378750</v>
      </c>
      <c r="K209" s="22">
        <f t="shared" ref="K209:K218" si="7">I209*J209</f>
        <v>6378750</v>
      </c>
      <c r="L209" s="22"/>
      <c r="M209" s="22"/>
      <c r="N209" s="22"/>
      <c r="O209" s="60" t="s">
        <v>26</v>
      </c>
      <c r="P209" s="34"/>
      <c r="R209"/>
      <c r="S209"/>
      <c r="T209"/>
      <c r="U209"/>
      <c r="V209"/>
      <c r="W209"/>
      <c r="X209"/>
      <c r="Y209"/>
    </row>
    <row r="210" spans="1:25" s="8" customFormat="1" ht="39" x14ac:dyDescent="0.25">
      <c r="A210"/>
      <c r="B210" s="20" t="s">
        <v>17</v>
      </c>
      <c r="C210" s="21" t="s">
        <v>550</v>
      </c>
      <c r="D210" s="21" t="s">
        <v>551</v>
      </c>
      <c r="E210" s="21" t="s">
        <v>552</v>
      </c>
      <c r="F210" s="21" t="s">
        <v>553</v>
      </c>
      <c r="G210" s="60" t="s">
        <v>72</v>
      </c>
      <c r="H210" s="61" t="s">
        <v>245</v>
      </c>
      <c r="I210" s="22">
        <v>1</v>
      </c>
      <c r="J210" s="22">
        <f>6371400+1948842.85714281</f>
        <v>8320242.8571428098</v>
      </c>
      <c r="K210" s="22">
        <f t="shared" si="7"/>
        <v>8320242.8571428098</v>
      </c>
      <c r="L210" s="22"/>
      <c r="M210" s="22"/>
      <c r="N210" s="22"/>
      <c r="O210" s="60" t="s">
        <v>26</v>
      </c>
      <c r="P210" s="34"/>
      <c r="R210"/>
      <c r="S210"/>
      <c r="T210"/>
      <c r="U210"/>
      <c r="V210"/>
      <c r="W210"/>
      <c r="X210"/>
      <c r="Y210"/>
    </row>
    <row r="211" spans="1:25" s="8" customFormat="1" ht="39" x14ac:dyDescent="0.25">
      <c r="A211"/>
      <c r="B211" s="20" t="s">
        <v>17</v>
      </c>
      <c r="C211" s="21" t="s">
        <v>550</v>
      </c>
      <c r="D211" s="21" t="s">
        <v>551</v>
      </c>
      <c r="E211" s="21" t="s">
        <v>552</v>
      </c>
      <c r="F211" s="21" t="s">
        <v>553</v>
      </c>
      <c r="G211" s="60" t="s">
        <v>246</v>
      </c>
      <c r="H211" s="61" t="s">
        <v>245</v>
      </c>
      <c r="I211" s="22">
        <v>1</v>
      </c>
      <c r="J211" s="22">
        <v>56217.86</v>
      </c>
      <c r="K211" s="22">
        <f t="shared" si="7"/>
        <v>56217.86</v>
      </c>
      <c r="L211" s="22"/>
      <c r="M211" s="22"/>
      <c r="N211" s="22"/>
      <c r="O211" s="60" t="s">
        <v>78</v>
      </c>
      <c r="P211" s="34"/>
      <c r="R211"/>
      <c r="S211"/>
      <c r="T211"/>
      <c r="U211"/>
      <c r="V211"/>
      <c r="W211"/>
      <c r="X211"/>
      <c r="Y211"/>
    </row>
    <row r="212" spans="1:25" s="8" customFormat="1" ht="39" x14ac:dyDescent="0.25">
      <c r="A212"/>
      <c r="B212" s="20" t="s">
        <v>17</v>
      </c>
      <c r="C212" s="21" t="s">
        <v>550</v>
      </c>
      <c r="D212" s="21" t="s">
        <v>551</v>
      </c>
      <c r="E212" s="21" t="s">
        <v>552</v>
      </c>
      <c r="F212" s="21" t="s">
        <v>553</v>
      </c>
      <c r="G212" s="60" t="s">
        <v>246</v>
      </c>
      <c r="H212" s="61" t="s">
        <v>245</v>
      </c>
      <c r="I212" s="22">
        <v>1</v>
      </c>
      <c r="J212" s="22">
        <v>23473957.149999999</v>
      </c>
      <c r="K212" s="22">
        <f t="shared" si="7"/>
        <v>23473957.149999999</v>
      </c>
      <c r="L212" s="22"/>
      <c r="M212" s="22"/>
      <c r="N212" s="22"/>
      <c r="O212" s="60" t="s">
        <v>78</v>
      </c>
      <c r="P212" s="34"/>
      <c r="R212"/>
      <c r="S212"/>
      <c r="T212"/>
      <c r="U212"/>
      <c r="V212"/>
      <c r="W212"/>
      <c r="X212"/>
      <c r="Y212"/>
    </row>
    <row r="213" spans="1:25" s="8" customFormat="1" ht="37.5" customHeight="1" x14ac:dyDescent="0.25">
      <c r="A213"/>
      <c r="B213" s="20" t="s">
        <v>17</v>
      </c>
      <c r="C213" s="21" t="s">
        <v>550</v>
      </c>
      <c r="D213" s="21" t="s">
        <v>551</v>
      </c>
      <c r="E213" s="21" t="s">
        <v>554</v>
      </c>
      <c r="F213" s="21" t="s">
        <v>555</v>
      </c>
      <c r="G213" s="60" t="s">
        <v>72</v>
      </c>
      <c r="H213" s="61" t="s">
        <v>245</v>
      </c>
      <c r="I213" s="22">
        <v>1</v>
      </c>
      <c r="J213" s="22">
        <f>53825805-10765161-21530322</f>
        <v>21530322</v>
      </c>
      <c r="K213" s="22">
        <f t="shared" si="7"/>
        <v>21530322</v>
      </c>
      <c r="L213" s="22"/>
      <c r="M213" s="22"/>
      <c r="N213" s="22"/>
      <c r="O213" s="60" t="s">
        <v>52</v>
      </c>
      <c r="P213" s="34"/>
      <c r="R213"/>
      <c r="S213"/>
      <c r="T213"/>
      <c r="U213"/>
      <c r="V213"/>
      <c r="W213"/>
      <c r="X213"/>
      <c r="Y213"/>
    </row>
    <row r="214" spans="1:25" s="8" customFormat="1" ht="37.5" customHeight="1" x14ac:dyDescent="0.25">
      <c r="A214"/>
      <c r="B214" s="20" t="s">
        <v>17</v>
      </c>
      <c r="C214" s="21" t="s">
        <v>550</v>
      </c>
      <c r="D214" s="21" t="s">
        <v>551</v>
      </c>
      <c r="E214" s="21" t="s">
        <v>556</v>
      </c>
      <c r="F214" s="21" t="s">
        <v>557</v>
      </c>
      <c r="G214" s="60" t="s">
        <v>72</v>
      </c>
      <c r="H214" s="61" t="s">
        <v>245</v>
      </c>
      <c r="I214" s="22">
        <v>1</v>
      </c>
      <c r="J214" s="22">
        <f>21530322+7398246</f>
        <v>28928568</v>
      </c>
      <c r="K214" s="22">
        <f t="shared" si="7"/>
        <v>28928568</v>
      </c>
      <c r="L214" s="22"/>
      <c r="M214" s="22"/>
      <c r="N214" s="22"/>
      <c r="O214" s="60" t="s">
        <v>52</v>
      </c>
      <c r="P214" s="34"/>
      <c r="Q214"/>
      <c r="R214"/>
      <c r="S214"/>
      <c r="T214"/>
      <c r="U214"/>
      <c r="V214"/>
      <c r="W214"/>
      <c r="X214"/>
      <c r="Y214"/>
    </row>
    <row r="215" spans="1:25" s="8" customFormat="1" ht="24.75" customHeight="1" x14ac:dyDescent="0.25">
      <c r="A215"/>
      <c r="B215" s="20" t="s">
        <v>17</v>
      </c>
      <c r="C215" s="21" t="s">
        <v>558</v>
      </c>
      <c r="D215" s="21" t="s">
        <v>559</v>
      </c>
      <c r="E215" s="21" t="s">
        <v>560</v>
      </c>
      <c r="F215" s="21" t="s">
        <v>561</v>
      </c>
      <c r="G215" s="60" t="s">
        <v>246</v>
      </c>
      <c r="H215" s="61" t="s">
        <v>245</v>
      </c>
      <c r="I215" s="22">
        <v>1</v>
      </c>
      <c r="J215" s="22">
        <v>2770562.5449999999</v>
      </c>
      <c r="K215" s="22">
        <f t="shared" si="7"/>
        <v>2770562.5449999999</v>
      </c>
      <c r="L215" s="22"/>
      <c r="M215" s="22"/>
      <c r="N215" s="22"/>
      <c r="O215" s="60" t="s">
        <v>26</v>
      </c>
      <c r="P215" s="34"/>
      <c r="Q215"/>
      <c r="R215"/>
      <c r="S215"/>
      <c r="T215"/>
      <c r="U215"/>
      <c r="V215"/>
      <c r="W215"/>
      <c r="X215"/>
      <c r="Y215"/>
    </row>
    <row r="216" spans="1:25" s="8" customFormat="1" ht="22.5" customHeight="1" x14ac:dyDescent="0.25">
      <c r="A216"/>
      <c r="B216" s="20" t="s">
        <v>17</v>
      </c>
      <c r="C216" s="21" t="s">
        <v>558</v>
      </c>
      <c r="D216" s="21" t="s">
        <v>559</v>
      </c>
      <c r="E216" s="21" t="s">
        <v>560</v>
      </c>
      <c r="F216" s="21" t="s">
        <v>561</v>
      </c>
      <c r="G216" s="60" t="s">
        <v>72</v>
      </c>
      <c r="H216" s="61" t="s">
        <v>245</v>
      </c>
      <c r="I216" s="22">
        <v>1</v>
      </c>
      <c r="J216" s="22">
        <f>22500000-3783169.64-2939053.36</f>
        <v>15777777</v>
      </c>
      <c r="K216" s="22">
        <f t="shared" si="7"/>
        <v>15777777</v>
      </c>
      <c r="L216" s="22"/>
      <c r="M216" s="22"/>
      <c r="N216" s="22"/>
      <c r="O216" s="60" t="s">
        <v>26</v>
      </c>
      <c r="P216" s="34"/>
      <c r="Q216"/>
      <c r="R216"/>
      <c r="S216"/>
      <c r="T216"/>
      <c r="U216"/>
      <c r="V216"/>
      <c r="W216"/>
      <c r="X216"/>
      <c r="Y216"/>
    </row>
    <row r="217" spans="1:25" s="8" customFormat="1" ht="26.25" x14ac:dyDescent="0.25">
      <c r="A217"/>
      <c r="B217" s="20" t="s">
        <v>17</v>
      </c>
      <c r="C217" s="21" t="s">
        <v>233</v>
      </c>
      <c r="D217" s="21" t="s">
        <v>234</v>
      </c>
      <c r="E217" s="21" t="s">
        <v>562</v>
      </c>
      <c r="F217" s="21" t="s">
        <v>563</v>
      </c>
      <c r="G217" s="60" t="s">
        <v>21</v>
      </c>
      <c r="H217" s="61" t="s">
        <v>22</v>
      </c>
      <c r="I217" s="22">
        <v>42</v>
      </c>
      <c r="J217" s="22">
        <f>123900/I217</f>
        <v>2950</v>
      </c>
      <c r="K217" s="22">
        <f t="shared" si="7"/>
        <v>123900</v>
      </c>
      <c r="L217" s="22"/>
      <c r="M217" s="22"/>
      <c r="N217" s="22"/>
      <c r="O217" s="60" t="s">
        <v>23</v>
      </c>
      <c r="P217" s="34"/>
      <c r="Q217"/>
      <c r="R217"/>
      <c r="S217"/>
      <c r="T217"/>
      <c r="U217"/>
      <c r="V217"/>
      <c r="W217"/>
      <c r="X217"/>
      <c r="Y217"/>
    </row>
    <row r="218" spans="1:25" s="8" customFormat="1" ht="26.25" x14ac:dyDescent="0.25">
      <c r="A218"/>
      <c r="B218" s="20" t="s">
        <v>17</v>
      </c>
      <c r="C218" s="21" t="s">
        <v>564</v>
      </c>
      <c r="D218" s="21" t="s">
        <v>565</v>
      </c>
      <c r="E218" s="21" t="s">
        <v>566</v>
      </c>
      <c r="F218" s="21" t="s">
        <v>567</v>
      </c>
      <c r="G218" s="60" t="s">
        <v>72</v>
      </c>
      <c r="H218" s="61" t="s">
        <v>245</v>
      </c>
      <c r="I218" s="22">
        <v>1</v>
      </c>
      <c r="J218" s="22">
        <f>1296750-108062.5</f>
        <v>1188687.5</v>
      </c>
      <c r="K218" s="22">
        <f t="shared" si="7"/>
        <v>1188687.5</v>
      </c>
      <c r="L218" s="22"/>
      <c r="M218" s="22"/>
      <c r="N218" s="22"/>
      <c r="O218" s="64" t="s">
        <v>26</v>
      </c>
      <c r="P218" s="24"/>
      <c r="Q218"/>
      <c r="R218"/>
      <c r="S218"/>
      <c r="T218"/>
      <c r="U218"/>
      <c r="V218"/>
      <c r="W218"/>
      <c r="X218"/>
      <c r="Y218"/>
    </row>
    <row r="219" spans="1:25" s="8" customFormat="1" ht="26.25" x14ac:dyDescent="0.25">
      <c r="A219"/>
      <c r="B219" s="20" t="s">
        <v>17</v>
      </c>
      <c r="C219" s="21" t="s">
        <v>568</v>
      </c>
      <c r="D219" s="21" t="s">
        <v>569</v>
      </c>
      <c r="E219" s="21" t="s">
        <v>570</v>
      </c>
      <c r="F219" s="21" t="s">
        <v>571</v>
      </c>
      <c r="G219" s="60" t="s">
        <v>72</v>
      </c>
      <c r="H219" s="61" t="s">
        <v>572</v>
      </c>
      <c r="I219" s="22">
        <v>2000</v>
      </c>
      <c r="J219" s="22">
        <f>758.93-173.93</f>
        <v>585</v>
      </c>
      <c r="K219" s="22">
        <f>I219*J219</f>
        <v>1170000</v>
      </c>
      <c r="L219" s="22"/>
      <c r="M219" s="22"/>
      <c r="N219" s="22"/>
      <c r="O219" s="64" t="s">
        <v>26</v>
      </c>
      <c r="P219" s="24"/>
      <c r="Q219"/>
      <c r="R219"/>
      <c r="S219"/>
      <c r="T219"/>
      <c r="U219"/>
      <c r="V219"/>
      <c r="W219"/>
      <c r="X219"/>
      <c r="Y219"/>
    </row>
    <row r="220" spans="1:25" s="8" customFormat="1" ht="26.25" x14ac:dyDescent="0.25">
      <c r="A220"/>
      <c r="B220" s="20" t="s">
        <v>17</v>
      </c>
      <c r="C220" s="21" t="s">
        <v>573</v>
      </c>
      <c r="D220" s="21" t="s">
        <v>574</v>
      </c>
      <c r="E220" s="21" t="s">
        <v>575</v>
      </c>
      <c r="F220" s="21" t="s">
        <v>576</v>
      </c>
      <c r="G220" s="60" t="s">
        <v>399</v>
      </c>
      <c r="H220" s="61" t="s">
        <v>245</v>
      </c>
      <c r="I220" s="22">
        <v>1</v>
      </c>
      <c r="J220" s="22">
        <v>466785.7</v>
      </c>
      <c r="K220" s="22">
        <f t="shared" ref="K220:K248" si="8">I220*J220</f>
        <v>466785.7</v>
      </c>
      <c r="L220" s="22"/>
      <c r="M220" s="22"/>
      <c r="N220" s="22"/>
      <c r="O220" s="60" t="s">
        <v>78</v>
      </c>
      <c r="P220" s="34"/>
      <c r="Q220"/>
      <c r="R220"/>
      <c r="S220"/>
      <c r="T220"/>
      <c r="U220"/>
      <c r="V220"/>
      <c r="W220"/>
      <c r="X220"/>
      <c r="Y220"/>
    </row>
    <row r="221" spans="1:25" s="8" customFormat="1" ht="26.25" x14ac:dyDescent="0.25">
      <c r="A221"/>
      <c r="B221" s="20" t="s">
        <v>17</v>
      </c>
      <c r="C221" s="21" t="s">
        <v>577</v>
      </c>
      <c r="D221" s="21" t="s">
        <v>578</v>
      </c>
      <c r="E221" s="21" t="s">
        <v>579</v>
      </c>
      <c r="F221" s="21" t="s">
        <v>580</v>
      </c>
      <c r="G221" s="60" t="s">
        <v>72</v>
      </c>
      <c r="H221" s="61" t="s">
        <v>245</v>
      </c>
      <c r="I221" s="22">
        <v>1</v>
      </c>
      <c r="J221" s="22">
        <v>3700000</v>
      </c>
      <c r="K221" s="22">
        <f t="shared" si="8"/>
        <v>3700000</v>
      </c>
      <c r="L221" s="22"/>
      <c r="M221" s="22"/>
      <c r="N221" s="22"/>
      <c r="O221" s="60" t="s">
        <v>26</v>
      </c>
      <c r="P221" s="24"/>
      <c r="Q221"/>
      <c r="R221"/>
      <c r="S221"/>
      <c r="T221"/>
      <c r="U221"/>
      <c r="V221"/>
      <c r="W221"/>
      <c r="X221"/>
      <c r="Y221"/>
    </row>
    <row r="222" spans="1:25" s="8" customFormat="1" ht="26.25" x14ac:dyDescent="0.25">
      <c r="A222"/>
      <c r="B222" s="20" t="s">
        <v>17</v>
      </c>
      <c r="C222" s="21" t="s">
        <v>581</v>
      </c>
      <c r="D222" s="21" t="s">
        <v>582</v>
      </c>
      <c r="E222" s="21" t="s">
        <v>583</v>
      </c>
      <c r="F222" s="21" t="s">
        <v>584</v>
      </c>
      <c r="G222" s="60" t="s">
        <v>72</v>
      </c>
      <c r="H222" s="61" t="s">
        <v>245</v>
      </c>
      <c r="I222" s="22">
        <v>1</v>
      </c>
      <c r="J222" s="22">
        <f>2409820-808927.142857143</f>
        <v>1600892.857142857</v>
      </c>
      <c r="K222" s="22">
        <f t="shared" si="8"/>
        <v>1600892.857142857</v>
      </c>
      <c r="L222" s="22"/>
      <c r="M222" s="22"/>
      <c r="N222" s="22"/>
      <c r="O222" s="60" t="s">
        <v>52</v>
      </c>
      <c r="P222" s="32"/>
      <c r="Q222"/>
      <c r="R222"/>
      <c r="S222"/>
      <c r="T222"/>
      <c r="U222"/>
      <c r="V222"/>
      <c r="W222"/>
      <c r="X222"/>
      <c r="Y222"/>
    </row>
    <row r="223" spans="1:25" s="8" customFormat="1" ht="30.75" customHeight="1" x14ac:dyDescent="0.25">
      <c r="A223"/>
      <c r="B223" s="20" t="s">
        <v>17</v>
      </c>
      <c r="C223" s="21" t="s">
        <v>581</v>
      </c>
      <c r="D223" s="21" t="s">
        <v>582</v>
      </c>
      <c r="E223" s="21" t="s">
        <v>585</v>
      </c>
      <c r="F223" s="21" t="s">
        <v>586</v>
      </c>
      <c r="G223" s="60" t="s">
        <v>72</v>
      </c>
      <c r="H223" s="61" t="s">
        <v>245</v>
      </c>
      <c r="I223" s="22">
        <v>1</v>
      </c>
      <c r="J223" s="22">
        <v>191964.29</v>
      </c>
      <c r="K223" s="22">
        <f>I223*J223</f>
        <v>191964.29</v>
      </c>
      <c r="L223" s="22"/>
      <c r="M223" s="32"/>
      <c r="N223" s="22"/>
      <c r="O223" s="60" t="s">
        <v>78</v>
      </c>
      <c r="P223" s="32"/>
      <c r="Q223"/>
      <c r="R223"/>
      <c r="S223"/>
      <c r="T223"/>
      <c r="U223"/>
      <c r="V223"/>
      <c r="W223"/>
      <c r="X223"/>
      <c r="Y223"/>
    </row>
    <row r="224" spans="1:25" s="8" customFormat="1" ht="30.75" customHeight="1" x14ac:dyDescent="0.25">
      <c r="A224"/>
      <c r="B224" s="20" t="s">
        <v>17</v>
      </c>
      <c r="C224" s="21" t="s">
        <v>581</v>
      </c>
      <c r="D224" s="21" t="s">
        <v>582</v>
      </c>
      <c r="E224" s="21" t="s">
        <v>587</v>
      </c>
      <c r="F224" s="21" t="s">
        <v>588</v>
      </c>
      <c r="G224" s="60" t="s">
        <v>72</v>
      </c>
      <c r="H224" s="61" t="s">
        <v>245</v>
      </c>
      <c r="I224" s="22">
        <v>1</v>
      </c>
      <c r="J224" s="22">
        <v>320000</v>
      </c>
      <c r="K224" s="22">
        <f>I224*J224</f>
        <v>320000</v>
      </c>
      <c r="L224" s="22"/>
      <c r="M224" s="32"/>
      <c r="N224" s="22"/>
      <c r="O224" s="60" t="s">
        <v>78</v>
      </c>
      <c r="P224" s="32"/>
      <c r="Q224"/>
      <c r="R224"/>
      <c r="S224"/>
      <c r="T224"/>
      <c r="U224"/>
      <c r="V224"/>
      <c r="W224"/>
      <c r="X224"/>
      <c r="Y224"/>
    </row>
    <row r="225" spans="1:25" s="8" customFormat="1" ht="64.5" customHeight="1" x14ac:dyDescent="0.25">
      <c r="A225"/>
      <c r="B225" s="20" t="s">
        <v>17</v>
      </c>
      <c r="C225" s="21" t="s">
        <v>589</v>
      </c>
      <c r="D225" s="21" t="s">
        <v>590</v>
      </c>
      <c r="E225" s="21" t="s">
        <v>591</v>
      </c>
      <c r="F225" s="21" t="s">
        <v>592</v>
      </c>
      <c r="G225" s="60" t="s">
        <v>72</v>
      </c>
      <c r="H225" s="61" t="s">
        <v>245</v>
      </c>
      <c r="I225" s="22">
        <v>1</v>
      </c>
      <c r="J225" s="22">
        <v>4942800</v>
      </c>
      <c r="K225" s="22">
        <f>I225*J225</f>
        <v>4942800</v>
      </c>
      <c r="L225" s="22"/>
      <c r="M225" s="22"/>
      <c r="N225" s="22"/>
      <c r="O225" s="60" t="s">
        <v>23</v>
      </c>
      <c r="P225" s="32"/>
      <c r="Q225"/>
      <c r="R225"/>
      <c r="S225"/>
      <c r="T225"/>
      <c r="U225"/>
      <c r="V225"/>
      <c r="W225"/>
      <c r="X225"/>
      <c r="Y225"/>
    </row>
    <row r="226" spans="1:25" s="8" customFormat="1" ht="43.5" customHeight="1" x14ac:dyDescent="0.25">
      <c r="A226"/>
      <c r="B226" s="20" t="s">
        <v>17</v>
      </c>
      <c r="C226" s="21" t="s">
        <v>581</v>
      </c>
      <c r="D226" s="21" t="s">
        <v>582</v>
      </c>
      <c r="E226" s="21" t="s">
        <v>593</v>
      </c>
      <c r="F226" s="21" t="s">
        <v>594</v>
      </c>
      <c r="G226" s="60" t="s">
        <v>72</v>
      </c>
      <c r="H226" s="61" t="s">
        <v>245</v>
      </c>
      <c r="I226" s="22">
        <v>1</v>
      </c>
      <c r="J226" s="22">
        <v>400000</v>
      </c>
      <c r="K226" s="22">
        <f t="shared" si="8"/>
        <v>400000</v>
      </c>
      <c r="L226" s="22"/>
      <c r="M226" s="22"/>
      <c r="N226" s="22"/>
      <c r="O226" s="60" t="s">
        <v>23</v>
      </c>
      <c r="P226" s="32"/>
      <c r="Q226"/>
      <c r="R226"/>
      <c r="S226"/>
      <c r="T226"/>
      <c r="U226"/>
      <c r="V226"/>
      <c r="W226"/>
      <c r="X226"/>
      <c r="Y226"/>
    </row>
    <row r="227" spans="1:25" s="8" customFormat="1" ht="51" customHeight="1" x14ac:dyDescent="0.25">
      <c r="A227"/>
      <c r="B227" s="20" t="s">
        <v>17</v>
      </c>
      <c r="C227" s="21" t="s">
        <v>581</v>
      </c>
      <c r="D227" s="21" t="s">
        <v>582</v>
      </c>
      <c r="E227" s="21" t="s">
        <v>595</v>
      </c>
      <c r="F227" s="21" t="s">
        <v>596</v>
      </c>
      <c r="G227" s="60" t="s">
        <v>72</v>
      </c>
      <c r="H227" s="61" t="s">
        <v>245</v>
      </c>
      <c r="I227" s="22">
        <v>1</v>
      </c>
      <c r="J227" s="22">
        <v>2700000</v>
      </c>
      <c r="K227" s="22">
        <f t="shared" si="8"/>
        <v>2700000</v>
      </c>
      <c r="L227" s="22"/>
      <c r="M227" s="22"/>
      <c r="N227" s="22"/>
      <c r="O227" s="60" t="s">
        <v>23</v>
      </c>
      <c r="P227" s="32"/>
      <c r="Q227"/>
      <c r="R227"/>
      <c r="S227"/>
      <c r="T227"/>
      <c r="U227"/>
      <c r="V227"/>
      <c r="W227"/>
      <c r="X227"/>
      <c r="Y227"/>
    </row>
    <row r="228" spans="1:25" s="8" customFormat="1" ht="41.25" customHeight="1" x14ac:dyDescent="0.25">
      <c r="A228"/>
      <c r="B228" s="20" t="s">
        <v>17</v>
      </c>
      <c r="C228" s="21" t="s">
        <v>597</v>
      </c>
      <c r="D228" s="21" t="s">
        <v>598</v>
      </c>
      <c r="E228" s="21" t="s">
        <v>599</v>
      </c>
      <c r="F228" s="21" t="s">
        <v>600</v>
      </c>
      <c r="G228" s="60" t="s">
        <v>72</v>
      </c>
      <c r="H228" s="61" t="s">
        <v>288</v>
      </c>
      <c r="I228" s="22">
        <v>1</v>
      </c>
      <c r="J228" s="22">
        <f>1245666-46866</f>
        <v>1198800</v>
      </c>
      <c r="K228" s="22">
        <f>I228*J228</f>
        <v>1198800</v>
      </c>
      <c r="L228" s="22"/>
      <c r="M228" s="22"/>
      <c r="N228" s="22"/>
      <c r="O228" s="60" t="s">
        <v>23</v>
      </c>
      <c r="P228" s="32"/>
      <c r="Q228"/>
      <c r="R228"/>
      <c r="S228"/>
      <c r="T228"/>
      <c r="U228"/>
      <c r="V228"/>
      <c r="W228"/>
      <c r="X228"/>
      <c r="Y228"/>
    </row>
    <row r="229" spans="1:25" s="8" customFormat="1" ht="39" x14ac:dyDescent="0.25">
      <c r="A229"/>
      <c r="B229" s="20" t="s">
        <v>17</v>
      </c>
      <c r="C229" s="21" t="s">
        <v>601</v>
      </c>
      <c r="D229" s="31" t="s">
        <v>602</v>
      </c>
      <c r="E229" s="21" t="s">
        <v>603</v>
      </c>
      <c r="F229" s="21" t="s">
        <v>604</v>
      </c>
      <c r="G229" s="60" t="s">
        <v>72</v>
      </c>
      <c r="H229" s="61" t="s">
        <v>245</v>
      </c>
      <c r="I229" s="22">
        <v>1</v>
      </c>
      <c r="J229" s="22">
        <v>42000</v>
      </c>
      <c r="K229" s="22">
        <f t="shared" si="8"/>
        <v>42000</v>
      </c>
      <c r="L229" s="22"/>
      <c r="M229" s="22"/>
      <c r="N229" s="22"/>
      <c r="O229" s="60" t="s">
        <v>78</v>
      </c>
      <c r="P229" s="24"/>
      <c r="Q229"/>
      <c r="R229"/>
      <c r="S229"/>
      <c r="T229"/>
      <c r="U229"/>
      <c r="V229"/>
      <c r="W229"/>
      <c r="X229"/>
      <c r="Y229"/>
    </row>
    <row r="230" spans="1:25" s="8" customFormat="1" ht="39" x14ac:dyDescent="0.25">
      <c r="A230"/>
      <c r="B230" s="20" t="s">
        <v>17</v>
      </c>
      <c r="C230" s="21" t="s">
        <v>605</v>
      </c>
      <c r="D230" s="21" t="s">
        <v>606</v>
      </c>
      <c r="E230" s="21" t="s">
        <v>607</v>
      </c>
      <c r="F230" s="21" t="s">
        <v>608</v>
      </c>
      <c r="G230" s="60" t="s">
        <v>72</v>
      </c>
      <c r="H230" s="61" t="s">
        <v>245</v>
      </c>
      <c r="I230" s="22">
        <v>1</v>
      </c>
      <c r="J230" s="22">
        <v>276000</v>
      </c>
      <c r="K230" s="22">
        <f t="shared" si="8"/>
        <v>276000</v>
      </c>
      <c r="L230" s="22"/>
      <c r="M230" s="22"/>
      <c r="N230" s="22"/>
      <c r="O230" s="60" t="s">
        <v>78</v>
      </c>
      <c r="P230" s="24"/>
      <c r="Q230"/>
      <c r="R230"/>
      <c r="S230"/>
      <c r="T230"/>
      <c r="U230"/>
      <c r="V230"/>
      <c r="W230"/>
      <c r="X230"/>
      <c r="Y230"/>
    </row>
    <row r="231" spans="1:25" s="8" customFormat="1" ht="39" x14ac:dyDescent="0.25">
      <c r="A231"/>
      <c r="B231" s="20" t="s">
        <v>17</v>
      </c>
      <c r="C231" s="21" t="s">
        <v>605</v>
      </c>
      <c r="D231" s="21" t="s">
        <v>606</v>
      </c>
      <c r="E231" s="21" t="s">
        <v>609</v>
      </c>
      <c r="F231" s="21" t="s">
        <v>610</v>
      </c>
      <c r="G231" s="60" t="s">
        <v>72</v>
      </c>
      <c r="H231" s="61" t="s">
        <v>245</v>
      </c>
      <c r="I231" s="22">
        <v>1</v>
      </c>
      <c r="J231" s="22">
        <v>3783169.64</v>
      </c>
      <c r="K231" s="22">
        <f>I231*J231</f>
        <v>3783169.64</v>
      </c>
      <c r="L231" s="22"/>
      <c r="M231" s="22"/>
      <c r="N231" s="22"/>
      <c r="O231" s="60" t="s">
        <v>23</v>
      </c>
      <c r="P231" s="24"/>
      <c r="Q231"/>
      <c r="R231"/>
      <c r="S231"/>
      <c r="T231"/>
      <c r="U231"/>
      <c r="V231"/>
      <c r="W231"/>
      <c r="X231"/>
      <c r="Y231"/>
    </row>
    <row r="232" spans="1:25" s="8" customFormat="1" ht="26.25" x14ac:dyDescent="0.25">
      <c r="A232"/>
      <c r="B232" s="20" t="s">
        <v>17</v>
      </c>
      <c r="C232" s="21" t="s">
        <v>611</v>
      </c>
      <c r="D232" s="21" t="s">
        <v>612</v>
      </c>
      <c r="E232" s="21" t="s">
        <v>613</v>
      </c>
      <c r="F232" s="21" t="s">
        <v>614</v>
      </c>
      <c r="G232" s="60" t="s">
        <v>72</v>
      </c>
      <c r="H232" s="61" t="s">
        <v>245</v>
      </c>
      <c r="I232" s="22">
        <v>1</v>
      </c>
      <c r="J232" s="22">
        <v>152616.9</v>
      </c>
      <c r="K232" s="22">
        <f t="shared" si="8"/>
        <v>152616.9</v>
      </c>
      <c r="L232" s="22"/>
      <c r="M232" s="22"/>
      <c r="N232" s="22"/>
      <c r="O232" s="60" t="s">
        <v>78</v>
      </c>
      <c r="P232" s="24"/>
      <c r="Q232"/>
      <c r="R232"/>
      <c r="S232"/>
      <c r="T232"/>
      <c r="U232"/>
      <c r="V232"/>
      <c r="W232"/>
      <c r="X232"/>
      <c r="Y232"/>
    </row>
    <row r="233" spans="1:25" s="8" customFormat="1" ht="26.25" x14ac:dyDescent="0.25">
      <c r="A233"/>
      <c r="B233" s="20" t="s">
        <v>17</v>
      </c>
      <c r="C233" s="21" t="s">
        <v>615</v>
      </c>
      <c r="D233" s="21" t="s">
        <v>616</v>
      </c>
      <c r="E233" s="21" t="s">
        <v>617</v>
      </c>
      <c r="F233" s="37" t="s">
        <v>618</v>
      </c>
      <c r="G233" s="60" t="s">
        <v>72</v>
      </c>
      <c r="H233" s="61" t="s">
        <v>245</v>
      </c>
      <c r="I233" s="22">
        <v>1</v>
      </c>
      <c r="J233" s="22">
        <v>105000</v>
      </c>
      <c r="K233" s="22">
        <f t="shared" si="8"/>
        <v>105000</v>
      </c>
      <c r="L233" s="22"/>
      <c r="M233" s="22"/>
      <c r="N233" s="22"/>
      <c r="O233" s="64" t="s">
        <v>52</v>
      </c>
      <c r="P233" s="24"/>
      <c r="Q233"/>
      <c r="R233"/>
      <c r="S233"/>
      <c r="T233"/>
      <c r="U233"/>
      <c r="V233"/>
      <c r="W233"/>
      <c r="X233"/>
      <c r="Y233"/>
    </row>
    <row r="234" spans="1:25" s="8" customFormat="1" ht="26.25" x14ac:dyDescent="0.25">
      <c r="A234"/>
      <c r="B234" s="20" t="s">
        <v>17</v>
      </c>
      <c r="C234" s="21" t="s">
        <v>619</v>
      </c>
      <c r="D234" s="21" t="s">
        <v>620</v>
      </c>
      <c r="E234" s="21" t="s">
        <v>621</v>
      </c>
      <c r="F234" s="37" t="s">
        <v>622</v>
      </c>
      <c r="G234" s="60" t="s">
        <v>72</v>
      </c>
      <c r="H234" s="61" t="s">
        <v>245</v>
      </c>
      <c r="I234" s="22">
        <v>1</v>
      </c>
      <c r="J234" s="22">
        <v>1500000</v>
      </c>
      <c r="K234" s="22">
        <f t="shared" si="8"/>
        <v>1500000</v>
      </c>
      <c r="L234" s="22"/>
      <c r="M234" s="22"/>
      <c r="N234" s="22"/>
      <c r="O234" s="60" t="s">
        <v>26</v>
      </c>
      <c r="P234" s="24"/>
      <c r="Q234"/>
      <c r="R234"/>
      <c r="S234"/>
      <c r="T234"/>
      <c r="U234"/>
      <c r="V234"/>
      <c r="W234"/>
      <c r="X234"/>
      <c r="Y234"/>
    </row>
    <row r="235" spans="1:25" s="8" customFormat="1" ht="26.25" x14ac:dyDescent="0.25">
      <c r="A235"/>
      <c r="B235" s="20" t="s">
        <v>17</v>
      </c>
      <c r="C235" s="21" t="s">
        <v>619</v>
      </c>
      <c r="D235" s="21" t="s">
        <v>620</v>
      </c>
      <c r="E235" s="21" t="s">
        <v>623</v>
      </c>
      <c r="F235" s="37" t="s">
        <v>624</v>
      </c>
      <c r="G235" s="60" t="s">
        <v>72</v>
      </c>
      <c r="H235" s="61" t="s">
        <v>245</v>
      </c>
      <c r="I235" s="22">
        <v>1</v>
      </c>
      <c r="J235" s="22">
        <v>1000000</v>
      </c>
      <c r="K235" s="22">
        <f>I235*J235</f>
        <v>1000000</v>
      </c>
      <c r="L235" s="22"/>
      <c r="M235" s="22"/>
      <c r="N235" s="22"/>
      <c r="O235" s="60" t="s">
        <v>52</v>
      </c>
      <c r="P235" s="24"/>
      <c r="Q235"/>
      <c r="R235"/>
      <c r="S235"/>
      <c r="T235"/>
      <c r="U235"/>
      <c r="V235"/>
      <c r="W235"/>
      <c r="X235"/>
      <c r="Y235"/>
    </row>
    <row r="236" spans="1:25" s="8" customFormat="1" ht="26.25" x14ac:dyDescent="0.25">
      <c r="A236"/>
      <c r="B236" s="20" t="s">
        <v>17</v>
      </c>
      <c r="C236" s="21" t="s">
        <v>619</v>
      </c>
      <c r="D236" s="21" t="s">
        <v>620</v>
      </c>
      <c r="E236" s="21" t="s">
        <v>625</v>
      </c>
      <c r="F236" s="37" t="s">
        <v>626</v>
      </c>
      <c r="G236" s="60" t="s">
        <v>72</v>
      </c>
      <c r="H236" s="61" t="s">
        <v>245</v>
      </c>
      <c r="I236" s="22">
        <v>1</v>
      </c>
      <c r="J236" s="22">
        <v>5000000</v>
      </c>
      <c r="K236" s="22">
        <f>I236*J236</f>
        <v>5000000</v>
      </c>
      <c r="L236" s="22"/>
      <c r="M236" s="22"/>
      <c r="N236" s="22"/>
      <c r="O236" s="60" t="s">
        <v>52</v>
      </c>
      <c r="P236" s="24"/>
      <c r="Q236"/>
      <c r="R236"/>
      <c r="S236"/>
      <c r="T236"/>
      <c r="U236"/>
      <c r="V236"/>
      <c r="W236"/>
      <c r="X236"/>
      <c r="Y236"/>
    </row>
    <row r="237" spans="1:25" s="8" customFormat="1" ht="39" x14ac:dyDescent="0.25">
      <c r="A237"/>
      <c r="B237" s="20" t="s">
        <v>17</v>
      </c>
      <c r="C237" s="21" t="s">
        <v>627</v>
      </c>
      <c r="D237" s="21" t="s">
        <v>628</v>
      </c>
      <c r="E237" s="21" t="s">
        <v>629</v>
      </c>
      <c r="F237" s="37" t="s">
        <v>630</v>
      </c>
      <c r="G237" s="60" t="s">
        <v>72</v>
      </c>
      <c r="H237" s="61" t="s">
        <v>288</v>
      </c>
      <c r="I237" s="22">
        <v>1</v>
      </c>
      <c r="J237" s="22">
        <v>2600000</v>
      </c>
      <c r="K237" s="22">
        <f>I237*J237</f>
        <v>2600000</v>
      </c>
      <c r="L237" s="22"/>
      <c r="M237" s="22"/>
      <c r="N237" s="22"/>
      <c r="O237" s="60" t="s">
        <v>78</v>
      </c>
      <c r="P237" s="24"/>
      <c r="Q237"/>
      <c r="R237"/>
      <c r="S237"/>
      <c r="T237"/>
      <c r="U237"/>
      <c r="V237"/>
      <c r="W237"/>
      <c r="X237"/>
      <c r="Y237"/>
    </row>
    <row r="238" spans="1:25" s="8" customFormat="1" ht="27.75" customHeight="1" x14ac:dyDescent="0.25">
      <c r="A238"/>
      <c r="B238" s="20" t="s">
        <v>17</v>
      </c>
      <c r="C238" s="21" t="s">
        <v>631</v>
      </c>
      <c r="D238" s="21" t="s">
        <v>632</v>
      </c>
      <c r="E238" s="21" t="s">
        <v>633</v>
      </c>
      <c r="F238" s="37" t="s">
        <v>634</v>
      </c>
      <c r="G238" s="60" t="s">
        <v>72</v>
      </c>
      <c r="H238" s="61" t="s">
        <v>245</v>
      </c>
      <c r="I238" s="22">
        <v>1</v>
      </c>
      <c r="J238" s="22">
        <v>3603000</v>
      </c>
      <c r="K238" s="22">
        <f>I238*J238</f>
        <v>3603000</v>
      </c>
      <c r="L238" s="22"/>
      <c r="M238" s="22"/>
      <c r="N238" s="22"/>
      <c r="O238" s="60" t="s">
        <v>78</v>
      </c>
      <c r="P238" s="24"/>
      <c r="Q238"/>
      <c r="R238"/>
      <c r="S238"/>
      <c r="T238"/>
      <c r="U238"/>
      <c r="V238"/>
      <c r="W238"/>
      <c r="X238"/>
      <c r="Y238"/>
    </row>
    <row r="239" spans="1:25" s="8" customFormat="1" ht="27.75" customHeight="1" x14ac:dyDescent="0.25">
      <c r="A239"/>
      <c r="B239" s="20" t="s">
        <v>17</v>
      </c>
      <c r="C239" s="21" t="s">
        <v>635</v>
      </c>
      <c r="D239" s="21" t="s">
        <v>636</v>
      </c>
      <c r="E239" s="29" t="s">
        <v>637</v>
      </c>
      <c r="F239" s="30" t="s">
        <v>638</v>
      </c>
      <c r="G239" s="60" t="s">
        <v>72</v>
      </c>
      <c r="H239" s="61" t="s">
        <v>245</v>
      </c>
      <c r="I239" s="24">
        <v>1</v>
      </c>
      <c r="J239" s="22">
        <v>4950000</v>
      </c>
      <c r="K239" s="22">
        <f t="shared" ref="K239:K240" si="9">I239*J239</f>
        <v>4950000</v>
      </c>
      <c r="L239" s="22"/>
      <c r="M239" s="22"/>
      <c r="N239" s="22"/>
      <c r="O239" s="60" t="s">
        <v>78</v>
      </c>
      <c r="P239" s="24"/>
      <c r="Q239"/>
      <c r="R239"/>
      <c r="S239"/>
      <c r="T239"/>
      <c r="U239"/>
      <c r="V239"/>
      <c r="W239"/>
      <c r="X239"/>
      <c r="Y239"/>
    </row>
    <row r="240" spans="1:25" s="8" customFormat="1" ht="39" customHeight="1" x14ac:dyDescent="0.25">
      <c r="A240"/>
      <c r="B240" s="20" t="s">
        <v>17</v>
      </c>
      <c r="C240" s="21" t="s">
        <v>589</v>
      </c>
      <c r="D240" s="21" t="s">
        <v>590</v>
      </c>
      <c r="E240" s="21" t="s">
        <v>639</v>
      </c>
      <c r="F240" s="21" t="s">
        <v>640</v>
      </c>
      <c r="G240" s="60" t="s">
        <v>72</v>
      </c>
      <c r="H240" s="61" t="s">
        <v>245</v>
      </c>
      <c r="I240" s="22">
        <v>1</v>
      </c>
      <c r="J240" s="22">
        <v>4923000</v>
      </c>
      <c r="K240" s="22">
        <f t="shared" si="9"/>
        <v>4923000</v>
      </c>
      <c r="L240" s="22"/>
      <c r="M240" s="22"/>
      <c r="N240" s="22"/>
      <c r="O240" s="60" t="s">
        <v>78</v>
      </c>
      <c r="P240" s="24"/>
      <c r="Q240"/>
      <c r="R240"/>
      <c r="S240"/>
      <c r="T240"/>
      <c r="U240"/>
      <c r="V240"/>
      <c r="W240"/>
      <c r="X240"/>
      <c r="Y240"/>
    </row>
    <row r="241" spans="1:25" s="8" customFormat="1" ht="37.5" customHeight="1" x14ac:dyDescent="0.25">
      <c r="A241"/>
      <c r="B241" s="20" t="s">
        <v>17</v>
      </c>
      <c r="C241" s="21" t="s">
        <v>619</v>
      </c>
      <c r="D241" s="21" t="s">
        <v>620</v>
      </c>
      <c r="E241" s="21" t="s">
        <v>641</v>
      </c>
      <c r="F241" s="37" t="s">
        <v>642</v>
      </c>
      <c r="G241" s="60" t="s">
        <v>72</v>
      </c>
      <c r="H241" s="61" t="s">
        <v>245</v>
      </c>
      <c r="I241" s="22">
        <v>1</v>
      </c>
      <c r="J241" s="22">
        <v>4992000</v>
      </c>
      <c r="K241" s="22">
        <f>I241*J241</f>
        <v>4992000</v>
      </c>
      <c r="L241" s="22"/>
      <c r="M241" s="22"/>
      <c r="N241" s="22"/>
      <c r="O241" s="60" t="s">
        <v>78</v>
      </c>
      <c r="P241" s="24"/>
      <c r="Q241"/>
      <c r="R241"/>
      <c r="S241"/>
      <c r="T241"/>
      <c r="U241"/>
      <c r="V241"/>
      <c r="W241"/>
      <c r="X241"/>
      <c r="Y241"/>
    </row>
    <row r="242" spans="1:25" s="8" customFormat="1" ht="27.75" customHeight="1" x14ac:dyDescent="0.25">
      <c r="A242"/>
      <c r="B242" s="20" t="s">
        <v>17</v>
      </c>
      <c r="C242" s="21" t="s">
        <v>643</v>
      </c>
      <c r="D242" s="21" t="s">
        <v>643</v>
      </c>
      <c r="E242" s="21" t="s">
        <v>644</v>
      </c>
      <c r="F242" s="37" t="s">
        <v>645</v>
      </c>
      <c r="G242" s="60" t="s">
        <v>72</v>
      </c>
      <c r="H242" s="61" t="s">
        <v>22</v>
      </c>
      <c r="I242" s="22">
        <v>12</v>
      </c>
      <c r="J242" s="22">
        <v>10950</v>
      </c>
      <c r="K242" s="22">
        <f t="shared" ref="K242:K246" si="10">I242*J242</f>
        <v>131400</v>
      </c>
      <c r="L242" s="22"/>
      <c r="M242" s="22"/>
      <c r="N242" s="22"/>
      <c r="O242" s="60" t="s">
        <v>78</v>
      </c>
      <c r="P242" s="24"/>
      <c r="Q242"/>
      <c r="R242"/>
      <c r="S242"/>
      <c r="T242"/>
      <c r="U242"/>
      <c r="V242"/>
      <c r="W242"/>
      <c r="X242"/>
      <c r="Y242"/>
    </row>
    <row r="243" spans="1:25" s="8" customFormat="1" ht="27.75" customHeight="1" x14ac:dyDescent="0.25">
      <c r="A243"/>
      <c r="B243" s="20" t="s">
        <v>17</v>
      </c>
      <c r="C243" s="21" t="s">
        <v>646</v>
      </c>
      <c r="D243" s="21" t="s">
        <v>647</v>
      </c>
      <c r="E243" s="21" t="s">
        <v>648</v>
      </c>
      <c r="F243" s="37" t="s">
        <v>649</v>
      </c>
      <c r="G243" s="60" t="s">
        <v>72</v>
      </c>
      <c r="H243" s="61" t="s">
        <v>22</v>
      </c>
      <c r="I243" s="22">
        <v>110</v>
      </c>
      <c r="J243" s="22">
        <v>3200</v>
      </c>
      <c r="K243" s="22">
        <f t="shared" si="10"/>
        <v>352000</v>
      </c>
      <c r="L243" s="22"/>
      <c r="M243" s="22"/>
      <c r="N243" s="22"/>
      <c r="O243" s="60" t="s">
        <v>78</v>
      </c>
      <c r="P243" s="24"/>
      <c r="Q243"/>
      <c r="R243"/>
      <c r="S243"/>
      <c r="T243"/>
      <c r="U243"/>
      <c r="V243"/>
      <c r="W243"/>
      <c r="X243"/>
      <c r="Y243"/>
    </row>
    <row r="244" spans="1:25" s="8" customFormat="1" ht="27.75" customHeight="1" x14ac:dyDescent="0.25">
      <c r="A244"/>
      <c r="B244" s="20" t="s">
        <v>17</v>
      </c>
      <c r="C244" s="21" t="s">
        <v>177</v>
      </c>
      <c r="D244" s="21" t="s">
        <v>178</v>
      </c>
      <c r="E244" s="21" t="s">
        <v>650</v>
      </c>
      <c r="F244" s="37" t="s">
        <v>651</v>
      </c>
      <c r="G244" s="60" t="s">
        <v>72</v>
      </c>
      <c r="H244" s="61" t="s">
        <v>22</v>
      </c>
      <c r="I244" s="22">
        <v>110</v>
      </c>
      <c r="J244" s="22">
        <v>600</v>
      </c>
      <c r="K244" s="22">
        <f t="shared" si="10"/>
        <v>66000</v>
      </c>
      <c r="L244" s="22"/>
      <c r="M244" s="22"/>
      <c r="N244" s="22"/>
      <c r="O244" s="60" t="s">
        <v>78</v>
      </c>
      <c r="P244" s="24"/>
      <c r="Q244"/>
      <c r="R244"/>
      <c r="S244"/>
      <c r="T244"/>
      <c r="U244"/>
      <c r="V244"/>
      <c r="W244"/>
      <c r="X244"/>
      <c r="Y244"/>
    </row>
    <row r="245" spans="1:25" s="8" customFormat="1" ht="27.75" customHeight="1" x14ac:dyDescent="0.25">
      <c r="A245"/>
      <c r="B245" s="20" t="s">
        <v>17</v>
      </c>
      <c r="C245" s="21" t="s">
        <v>652</v>
      </c>
      <c r="D245" s="21" t="s">
        <v>652</v>
      </c>
      <c r="E245" s="21" t="s">
        <v>653</v>
      </c>
      <c r="F245" s="37" t="s">
        <v>654</v>
      </c>
      <c r="G245" s="60" t="s">
        <v>72</v>
      </c>
      <c r="H245" s="61" t="s">
        <v>22</v>
      </c>
      <c r="I245" s="22">
        <v>1</v>
      </c>
      <c r="J245" s="22">
        <v>66964.289999999994</v>
      </c>
      <c r="K245" s="22">
        <f t="shared" si="10"/>
        <v>66964.289999999994</v>
      </c>
      <c r="L245" s="22"/>
      <c r="M245" s="22"/>
      <c r="N245" s="22"/>
      <c r="O245" s="60" t="s">
        <v>78</v>
      </c>
      <c r="P245" s="24"/>
      <c r="Q245"/>
      <c r="R245"/>
      <c r="S245"/>
      <c r="T245"/>
      <c r="U245"/>
      <c r="V245"/>
      <c r="W245"/>
      <c r="X245"/>
      <c r="Y245"/>
    </row>
    <row r="246" spans="1:25" s="8" customFormat="1" ht="27.75" customHeight="1" x14ac:dyDescent="0.25">
      <c r="A246"/>
      <c r="B246" s="20" t="s">
        <v>17</v>
      </c>
      <c r="C246" s="21" t="s">
        <v>190</v>
      </c>
      <c r="D246" s="21" t="s">
        <v>190</v>
      </c>
      <c r="E246" s="21" t="s">
        <v>655</v>
      </c>
      <c r="F246" s="37" t="s">
        <v>656</v>
      </c>
      <c r="G246" s="60" t="s">
        <v>72</v>
      </c>
      <c r="H246" s="61" t="s">
        <v>22</v>
      </c>
      <c r="I246" s="22">
        <v>110</v>
      </c>
      <c r="J246" s="22">
        <v>500</v>
      </c>
      <c r="K246" s="22">
        <f t="shared" si="10"/>
        <v>55000</v>
      </c>
      <c r="L246" s="22"/>
      <c r="M246" s="22"/>
      <c r="N246" s="22"/>
      <c r="O246" s="60" t="s">
        <v>78</v>
      </c>
      <c r="P246" s="24"/>
      <c r="Q246"/>
      <c r="R246"/>
      <c r="S246"/>
      <c r="T246"/>
      <c r="U246"/>
      <c r="V246"/>
      <c r="W246"/>
      <c r="X246"/>
      <c r="Y246"/>
    </row>
    <row r="247" spans="1:25" s="8" customFormat="1" ht="26.25" x14ac:dyDescent="0.25">
      <c r="A247"/>
      <c r="B247" s="20" t="s">
        <v>17</v>
      </c>
      <c r="C247" s="21" t="s">
        <v>657</v>
      </c>
      <c r="D247" s="21" t="s">
        <v>658</v>
      </c>
      <c r="E247" s="21" t="s">
        <v>659</v>
      </c>
      <c r="F247" s="37" t="s">
        <v>660</v>
      </c>
      <c r="G247" s="60" t="s">
        <v>72</v>
      </c>
      <c r="H247" s="61" t="s">
        <v>245</v>
      </c>
      <c r="I247" s="22">
        <v>1</v>
      </c>
      <c r="J247" s="22">
        <v>1071130</v>
      </c>
      <c r="K247" s="22">
        <f>I247*J247</f>
        <v>1071130</v>
      </c>
      <c r="L247" s="22"/>
      <c r="M247" s="22"/>
      <c r="N247" s="22"/>
      <c r="O247" s="60" t="s">
        <v>78</v>
      </c>
      <c r="P247" s="24"/>
      <c r="Q247"/>
      <c r="R247"/>
      <c r="S247"/>
      <c r="T247"/>
      <c r="U247"/>
      <c r="V247"/>
      <c r="W247"/>
      <c r="X247"/>
      <c r="Y247"/>
    </row>
    <row r="248" spans="1:25" s="8" customFormat="1" ht="26.25" x14ac:dyDescent="0.25">
      <c r="A248"/>
      <c r="B248" s="20" t="s">
        <v>17</v>
      </c>
      <c r="C248" s="21" t="s">
        <v>661</v>
      </c>
      <c r="D248" s="21" t="s">
        <v>662</v>
      </c>
      <c r="E248" s="21" t="s">
        <v>663</v>
      </c>
      <c r="F248" s="21" t="s">
        <v>664</v>
      </c>
      <c r="G248" s="60" t="s">
        <v>21</v>
      </c>
      <c r="H248" s="61" t="s">
        <v>22</v>
      </c>
      <c r="I248" s="22">
        <f>6</f>
        <v>6</v>
      </c>
      <c r="J248" s="22">
        <v>35450</v>
      </c>
      <c r="K248" s="22">
        <f t="shared" si="8"/>
        <v>212700</v>
      </c>
      <c r="L248" s="22"/>
      <c r="M248" s="22"/>
      <c r="N248" s="22"/>
      <c r="O248" s="60" t="s">
        <v>310</v>
      </c>
      <c r="P248" s="24"/>
      <c r="Q248"/>
      <c r="R248"/>
      <c r="S248"/>
      <c r="T248"/>
      <c r="U248"/>
      <c r="V248"/>
      <c r="W248"/>
      <c r="X248"/>
      <c r="Y248"/>
    </row>
    <row r="249" spans="1:25" s="8" customFormat="1" ht="26.25" x14ac:dyDescent="0.25">
      <c r="A249"/>
      <c r="B249" s="20" t="s">
        <v>17</v>
      </c>
      <c r="C249" s="21" t="s">
        <v>665</v>
      </c>
      <c r="D249" s="21" t="s">
        <v>666</v>
      </c>
      <c r="E249" s="21" t="s">
        <v>667</v>
      </c>
      <c r="F249" s="21" t="s">
        <v>668</v>
      </c>
      <c r="G249" s="60" t="s">
        <v>72</v>
      </c>
      <c r="H249" s="61" t="s">
        <v>22</v>
      </c>
      <c r="I249" s="22">
        <v>1</v>
      </c>
      <c r="J249" s="22">
        <v>5357.14</v>
      </c>
      <c r="K249" s="22">
        <f>I249*J249</f>
        <v>5357.14</v>
      </c>
      <c r="L249" s="22"/>
      <c r="M249" s="22"/>
      <c r="N249" s="22"/>
      <c r="O249" s="60" t="s">
        <v>310</v>
      </c>
      <c r="P249" s="24"/>
      <c r="Q249"/>
      <c r="R249"/>
      <c r="S249"/>
      <c r="T249"/>
      <c r="U249"/>
      <c r="V249"/>
      <c r="W249"/>
      <c r="X249"/>
      <c r="Y249"/>
    </row>
    <row r="250" spans="1:25" s="8" customFormat="1" ht="26.25" x14ac:dyDescent="0.25">
      <c r="A250"/>
      <c r="B250" s="20" t="s">
        <v>17</v>
      </c>
      <c r="C250" s="21" t="s">
        <v>669</v>
      </c>
      <c r="D250" s="21" t="s">
        <v>670</v>
      </c>
      <c r="E250" s="21" t="s">
        <v>671</v>
      </c>
      <c r="F250" s="21" t="s">
        <v>672</v>
      </c>
      <c r="G250" s="60" t="s">
        <v>21</v>
      </c>
      <c r="H250" s="61" t="s">
        <v>22</v>
      </c>
      <c r="I250" s="22">
        <v>2</v>
      </c>
      <c r="J250" s="22">
        <v>37500</v>
      </c>
      <c r="K250" s="22">
        <f>I250*J250</f>
        <v>75000</v>
      </c>
      <c r="L250" s="22"/>
      <c r="M250" s="22"/>
      <c r="N250" s="22"/>
      <c r="O250" s="60" t="s">
        <v>310</v>
      </c>
      <c r="P250" s="24"/>
      <c r="Q250"/>
      <c r="R250"/>
      <c r="S250"/>
      <c r="T250"/>
      <c r="U250"/>
      <c r="V250"/>
      <c r="W250"/>
      <c r="X250"/>
      <c r="Y250"/>
    </row>
    <row r="251" spans="1:25" s="8" customFormat="1" ht="29.25" customHeight="1" x14ac:dyDescent="0.25">
      <c r="A251"/>
      <c r="B251" s="20" t="s">
        <v>17</v>
      </c>
      <c r="C251" s="21" t="s">
        <v>673</v>
      </c>
      <c r="D251" s="21" t="s">
        <v>674</v>
      </c>
      <c r="E251" s="21" t="s">
        <v>675</v>
      </c>
      <c r="F251" s="21" t="s">
        <v>676</v>
      </c>
      <c r="G251" s="60" t="s">
        <v>72</v>
      </c>
      <c r="H251" s="61" t="s">
        <v>22</v>
      </c>
      <c r="I251" s="22">
        <v>15</v>
      </c>
      <c r="J251" s="22">
        <v>10267.85</v>
      </c>
      <c r="K251" s="22">
        <f>I251*J251</f>
        <v>154017.75</v>
      </c>
      <c r="L251" s="22"/>
      <c r="M251" s="22"/>
      <c r="N251" s="22"/>
      <c r="O251" s="60" t="s">
        <v>310</v>
      </c>
      <c r="P251" s="24"/>
      <c r="Q251"/>
      <c r="R251"/>
      <c r="S251"/>
      <c r="T251"/>
      <c r="U251"/>
      <c r="V251"/>
      <c r="W251"/>
      <c r="X251"/>
      <c r="Y251"/>
    </row>
    <row r="252" spans="1:25" s="8" customFormat="1" ht="29.25" customHeight="1" x14ac:dyDescent="0.25">
      <c r="A252"/>
      <c r="B252" s="20" t="s">
        <v>17</v>
      </c>
      <c r="C252" s="21" t="s">
        <v>677</v>
      </c>
      <c r="D252" s="21" t="s">
        <v>678</v>
      </c>
      <c r="E252" s="21" t="s">
        <v>679</v>
      </c>
      <c r="F252" s="21" t="s">
        <v>680</v>
      </c>
      <c r="G252" s="60" t="s">
        <v>72</v>
      </c>
      <c r="H252" s="61" t="s">
        <v>22</v>
      </c>
      <c r="I252" s="22">
        <v>5</v>
      </c>
      <c r="J252" s="22">
        <v>2196.4299999999998</v>
      </c>
      <c r="K252" s="22">
        <f>I252*J252</f>
        <v>10982.15</v>
      </c>
      <c r="L252" s="22"/>
      <c r="M252" s="22"/>
      <c r="N252" s="22"/>
      <c r="O252" s="60" t="s">
        <v>78</v>
      </c>
      <c r="P252" s="24"/>
      <c r="Q252"/>
      <c r="R252"/>
      <c r="S252"/>
      <c r="T252"/>
      <c r="U252"/>
      <c r="V252"/>
      <c r="W252"/>
      <c r="X252"/>
      <c r="Y252"/>
    </row>
    <row r="253" spans="1:25" s="8" customFormat="1" ht="26.25" x14ac:dyDescent="0.25">
      <c r="A253"/>
      <c r="B253" s="20" t="s">
        <v>17</v>
      </c>
      <c r="C253" s="21" t="s">
        <v>681</v>
      </c>
      <c r="D253" s="21" t="s">
        <v>682</v>
      </c>
      <c r="E253" s="21" t="s">
        <v>683</v>
      </c>
      <c r="F253" s="21" t="s">
        <v>684</v>
      </c>
      <c r="G253" s="60" t="s">
        <v>72</v>
      </c>
      <c r="H253" s="61" t="s">
        <v>22</v>
      </c>
      <c r="I253" s="22">
        <v>4</v>
      </c>
      <c r="J253" s="22">
        <v>2000000</v>
      </c>
      <c r="K253" s="22">
        <f>I253*J253</f>
        <v>8000000</v>
      </c>
      <c r="L253" s="22"/>
      <c r="M253" s="22"/>
      <c r="N253" s="22"/>
      <c r="O253" s="60" t="s">
        <v>310</v>
      </c>
      <c r="P253" s="24"/>
      <c r="Q253"/>
      <c r="R253"/>
      <c r="S253"/>
      <c r="T253"/>
      <c r="U253"/>
      <c r="V253"/>
      <c r="W253"/>
      <c r="X253"/>
      <c r="Y253"/>
    </row>
    <row r="254" spans="1:25" s="8" customFormat="1" ht="26.25" x14ac:dyDescent="0.25">
      <c r="A254"/>
      <c r="B254" s="20" t="s">
        <v>17</v>
      </c>
      <c r="C254" s="21" t="s">
        <v>685</v>
      </c>
      <c r="D254" s="21" t="s">
        <v>686</v>
      </c>
      <c r="E254" s="21" t="s">
        <v>687</v>
      </c>
      <c r="F254" s="21" t="s">
        <v>688</v>
      </c>
      <c r="G254" s="60" t="s">
        <v>21</v>
      </c>
      <c r="H254" s="61" t="s">
        <v>22</v>
      </c>
      <c r="I254" s="22">
        <v>1</v>
      </c>
      <c r="J254" s="22">
        <v>423600</v>
      </c>
      <c r="K254" s="22">
        <f>I254*J254</f>
        <v>423600</v>
      </c>
      <c r="L254" s="22"/>
      <c r="M254" s="22"/>
      <c r="N254" s="22"/>
      <c r="O254" s="60" t="s">
        <v>23</v>
      </c>
      <c r="P254" s="24"/>
      <c r="Q254"/>
      <c r="R254"/>
      <c r="S254"/>
      <c r="T254"/>
      <c r="U254"/>
      <c r="V254"/>
      <c r="W254"/>
      <c r="X254"/>
      <c r="Y254"/>
    </row>
    <row r="255" spans="1:25" s="8" customFormat="1" ht="26.25" x14ac:dyDescent="0.25">
      <c r="A255"/>
      <c r="B255" s="20" t="s">
        <v>17</v>
      </c>
      <c r="C255" s="21" t="s">
        <v>689</v>
      </c>
      <c r="D255" s="21" t="s">
        <v>689</v>
      </c>
      <c r="E255" s="21" t="s">
        <v>690</v>
      </c>
      <c r="F255" s="21" t="s">
        <v>691</v>
      </c>
      <c r="G255" s="60" t="s">
        <v>21</v>
      </c>
      <c r="H255" s="61" t="s">
        <v>22</v>
      </c>
      <c r="I255" s="22">
        <v>6</v>
      </c>
      <c r="J255" s="22">
        <v>167895.54</v>
      </c>
      <c r="K255" s="22">
        <f t="shared" ref="K255:K287" si="11">I255*J255</f>
        <v>1007373.24</v>
      </c>
      <c r="L255" s="22"/>
      <c r="M255" s="22"/>
      <c r="N255" s="22"/>
      <c r="O255" s="60" t="s">
        <v>23</v>
      </c>
      <c r="P255" s="24"/>
      <c r="Q255"/>
      <c r="R255"/>
      <c r="S255"/>
      <c r="T255"/>
      <c r="U255"/>
      <c r="V255"/>
      <c r="W255"/>
      <c r="X255"/>
      <c r="Y255"/>
    </row>
    <row r="256" spans="1:25" s="8" customFormat="1" ht="26.25" x14ac:dyDescent="0.25">
      <c r="A256"/>
      <c r="B256" s="20" t="s">
        <v>17</v>
      </c>
      <c r="C256" s="21" t="s">
        <v>689</v>
      </c>
      <c r="D256" s="21" t="s">
        <v>689</v>
      </c>
      <c r="E256" s="21" t="s">
        <v>692</v>
      </c>
      <c r="F256" s="21" t="s">
        <v>693</v>
      </c>
      <c r="G256" s="60" t="s">
        <v>21</v>
      </c>
      <c r="H256" s="61" t="s">
        <v>22</v>
      </c>
      <c r="I256" s="22">
        <v>17</v>
      </c>
      <c r="J256" s="22">
        <f>75892.86-5242.86</f>
        <v>70650</v>
      </c>
      <c r="K256" s="22">
        <f t="shared" si="11"/>
        <v>1201050</v>
      </c>
      <c r="L256" s="22"/>
      <c r="M256" s="22"/>
      <c r="N256" s="22"/>
      <c r="O256" s="60" t="s">
        <v>52</v>
      </c>
      <c r="P256" s="24"/>
      <c r="Q256"/>
      <c r="R256"/>
      <c r="S256"/>
      <c r="T256"/>
      <c r="U256"/>
      <c r="V256"/>
      <c r="W256"/>
      <c r="X256"/>
      <c r="Y256"/>
    </row>
    <row r="257" spans="1:25" s="8" customFormat="1" ht="26.25" x14ac:dyDescent="0.25">
      <c r="A257"/>
      <c r="B257" s="20" t="s">
        <v>17</v>
      </c>
      <c r="C257" s="21" t="s">
        <v>689</v>
      </c>
      <c r="D257" s="21" t="s">
        <v>689</v>
      </c>
      <c r="E257" s="21" t="s">
        <v>694</v>
      </c>
      <c r="F257" s="21" t="s">
        <v>695</v>
      </c>
      <c r="G257" s="60" t="s">
        <v>21</v>
      </c>
      <c r="H257" s="61" t="s">
        <v>22</v>
      </c>
      <c r="I257" s="22">
        <v>16</v>
      </c>
      <c r="J257" s="22">
        <v>87500</v>
      </c>
      <c r="K257" s="22">
        <f t="shared" si="11"/>
        <v>1400000</v>
      </c>
      <c r="L257" s="22"/>
      <c r="M257" s="22"/>
      <c r="N257" s="22"/>
      <c r="O257" s="60" t="s">
        <v>78</v>
      </c>
      <c r="P257" s="24"/>
      <c r="Q257"/>
      <c r="R257"/>
      <c r="S257"/>
      <c r="T257"/>
      <c r="U257"/>
      <c r="V257"/>
      <c r="W257"/>
      <c r="X257"/>
      <c r="Y257"/>
    </row>
    <row r="258" spans="1:25" s="8" customFormat="1" ht="26.25" x14ac:dyDescent="0.25">
      <c r="B258" s="20" t="s">
        <v>17</v>
      </c>
      <c r="C258" s="21" t="s">
        <v>696</v>
      </c>
      <c r="D258" s="21" t="s">
        <v>696</v>
      </c>
      <c r="E258" s="21" t="s">
        <v>697</v>
      </c>
      <c r="F258" s="21" t="s">
        <v>698</v>
      </c>
      <c r="G258" s="60" t="s">
        <v>21</v>
      </c>
      <c r="H258" s="61" t="s">
        <v>22</v>
      </c>
      <c r="I258" s="22">
        <v>2</v>
      </c>
      <c r="J258" s="22">
        <f>587500-43312.5</f>
        <v>544187.5</v>
      </c>
      <c r="K258" s="22">
        <f>I258*J258</f>
        <v>1088375</v>
      </c>
      <c r="L258" s="22"/>
      <c r="M258" s="22"/>
      <c r="N258" s="22"/>
      <c r="O258" s="60" t="s">
        <v>52</v>
      </c>
      <c r="P258" s="24"/>
      <c r="Q258"/>
      <c r="R258"/>
      <c r="S258"/>
      <c r="T258"/>
      <c r="U258"/>
      <c r="V258"/>
      <c r="W258"/>
      <c r="X258"/>
      <c r="Y258"/>
    </row>
    <row r="259" spans="1:25" s="8" customFormat="1" ht="26.25" x14ac:dyDescent="0.25">
      <c r="B259" s="20" t="s">
        <v>17</v>
      </c>
      <c r="C259" s="21" t="s">
        <v>696</v>
      </c>
      <c r="D259" s="21" t="s">
        <v>696</v>
      </c>
      <c r="E259" s="21" t="s">
        <v>699</v>
      </c>
      <c r="F259" s="21" t="s">
        <v>700</v>
      </c>
      <c r="G259" s="60" t="s">
        <v>21</v>
      </c>
      <c r="H259" s="61" t="s">
        <v>22</v>
      </c>
      <c r="I259" s="22">
        <v>15</v>
      </c>
      <c r="J259" s="22">
        <f>401785.71-21785.71</f>
        <v>380000</v>
      </c>
      <c r="K259" s="22">
        <f>I259*J259</f>
        <v>5700000</v>
      </c>
      <c r="L259" s="22"/>
      <c r="M259" s="22"/>
      <c r="N259" s="22"/>
      <c r="O259" s="60" t="s">
        <v>52</v>
      </c>
      <c r="P259" s="24"/>
      <c r="Q259"/>
      <c r="R259"/>
      <c r="S259"/>
      <c r="T259"/>
      <c r="U259"/>
      <c r="V259"/>
      <c r="W259"/>
      <c r="X259"/>
      <c r="Y259"/>
    </row>
    <row r="260" spans="1:25" s="8" customFormat="1" ht="26.25" x14ac:dyDescent="0.25">
      <c r="B260" s="20" t="s">
        <v>17</v>
      </c>
      <c r="C260" s="21" t="s">
        <v>696</v>
      </c>
      <c r="D260" s="21" t="s">
        <v>696</v>
      </c>
      <c r="E260" s="21" t="s">
        <v>701</v>
      </c>
      <c r="F260" s="21" t="s">
        <v>702</v>
      </c>
      <c r="G260" s="60" t="s">
        <v>21</v>
      </c>
      <c r="H260" s="61" t="s">
        <v>22</v>
      </c>
      <c r="I260" s="22">
        <v>19</v>
      </c>
      <c r="J260" s="22">
        <v>535714.28</v>
      </c>
      <c r="K260" s="22">
        <f>I260*J260</f>
        <v>10178571.32</v>
      </c>
      <c r="L260" s="22"/>
      <c r="M260" s="22"/>
      <c r="N260" s="22"/>
      <c r="O260" s="60" t="s">
        <v>78</v>
      </c>
      <c r="P260" s="24"/>
      <c r="Q260"/>
      <c r="R260"/>
      <c r="S260"/>
      <c r="T260"/>
      <c r="U260"/>
      <c r="V260"/>
      <c r="W260"/>
      <c r="X260"/>
      <c r="Y260"/>
    </row>
    <row r="261" spans="1:25" s="8" customFormat="1" ht="26.25" x14ac:dyDescent="0.25">
      <c r="B261" s="20" t="s">
        <v>17</v>
      </c>
      <c r="C261" s="21" t="s">
        <v>703</v>
      </c>
      <c r="D261" s="21" t="s">
        <v>703</v>
      </c>
      <c r="E261" s="21" t="s">
        <v>704</v>
      </c>
      <c r="F261" s="21" t="s">
        <v>705</v>
      </c>
      <c r="G261" s="60" t="s">
        <v>21</v>
      </c>
      <c r="H261" s="61" t="s">
        <v>22</v>
      </c>
      <c r="I261" s="22">
        <v>33</v>
      </c>
      <c r="J261" s="22">
        <f>308256.25-42256.25</f>
        <v>266000</v>
      </c>
      <c r="K261" s="22">
        <f t="shared" si="11"/>
        <v>8778000</v>
      </c>
      <c r="L261" s="22"/>
      <c r="M261" s="22"/>
      <c r="N261" s="22"/>
      <c r="O261" s="60" t="s">
        <v>52</v>
      </c>
      <c r="P261" s="24"/>
      <c r="Q261"/>
      <c r="R261"/>
      <c r="S261"/>
      <c r="T261"/>
      <c r="U261"/>
      <c r="V261"/>
      <c r="W261"/>
      <c r="X261"/>
      <c r="Y261"/>
    </row>
    <row r="262" spans="1:25" s="8" customFormat="1" ht="26.25" x14ac:dyDescent="0.25">
      <c r="B262" s="20" t="s">
        <v>17</v>
      </c>
      <c r="C262" s="21" t="s">
        <v>703</v>
      </c>
      <c r="D262" s="21" t="s">
        <v>703</v>
      </c>
      <c r="E262" s="21" t="s">
        <v>706</v>
      </c>
      <c r="F262" s="21" t="s">
        <v>707</v>
      </c>
      <c r="G262" s="60" t="s">
        <v>399</v>
      </c>
      <c r="H262" s="61" t="s">
        <v>22</v>
      </c>
      <c r="I262" s="22">
        <v>1</v>
      </c>
      <c r="J262" s="22">
        <v>1428787.5</v>
      </c>
      <c r="K262" s="22">
        <f t="shared" si="11"/>
        <v>1428787.5</v>
      </c>
      <c r="L262" s="22"/>
      <c r="M262" s="22"/>
      <c r="N262" s="22"/>
      <c r="O262" s="60" t="s">
        <v>52</v>
      </c>
      <c r="P262" s="24"/>
      <c r="Q262"/>
      <c r="R262"/>
      <c r="S262"/>
      <c r="T262"/>
      <c r="U262"/>
      <c r="V262"/>
      <c r="W262"/>
      <c r="X262"/>
      <c r="Y262"/>
    </row>
    <row r="263" spans="1:25" s="8" customFormat="1" ht="25.5" x14ac:dyDescent="0.2">
      <c r="B263" s="20" t="s">
        <v>17</v>
      </c>
      <c r="C263" s="21" t="s">
        <v>703</v>
      </c>
      <c r="D263" s="21" t="s">
        <v>703</v>
      </c>
      <c r="E263" s="21" t="s">
        <v>708</v>
      </c>
      <c r="F263" s="21" t="s">
        <v>708</v>
      </c>
      <c r="G263" s="60" t="s">
        <v>399</v>
      </c>
      <c r="H263" s="61" t="s">
        <v>22</v>
      </c>
      <c r="I263" s="22">
        <v>14</v>
      </c>
      <c r="J263" s="22">
        <v>125000</v>
      </c>
      <c r="K263" s="22">
        <f>I263*J263</f>
        <v>1750000</v>
      </c>
      <c r="L263" s="22"/>
      <c r="M263" s="22"/>
      <c r="N263" s="22"/>
      <c r="O263" s="60" t="s">
        <v>52</v>
      </c>
      <c r="P263" s="24"/>
    </row>
    <row r="264" spans="1:25" s="8" customFormat="1" ht="26.25" x14ac:dyDescent="0.25">
      <c r="B264" s="20" t="s">
        <v>17</v>
      </c>
      <c r="C264" s="21" t="s">
        <v>689</v>
      </c>
      <c r="D264" s="21" t="s">
        <v>689</v>
      </c>
      <c r="E264" s="21" t="s">
        <v>709</v>
      </c>
      <c r="F264" s="21" t="s">
        <v>710</v>
      </c>
      <c r="G264" s="60" t="s">
        <v>399</v>
      </c>
      <c r="H264" s="61" t="s">
        <v>22</v>
      </c>
      <c r="I264" s="22">
        <v>2</v>
      </c>
      <c r="J264" s="22">
        <v>230357.15</v>
      </c>
      <c r="K264" s="22">
        <f t="shared" si="11"/>
        <v>460714.3</v>
      </c>
      <c r="L264" s="22"/>
      <c r="M264" s="22"/>
      <c r="N264" s="22"/>
      <c r="O264" s="60" t="s">
        <v>23</v>
      </c>
      <c r="P264" s="24"/>
      <c r="Q264"/>
      <c r="R264"/>
      <c r="S264"/>
      <c r="T264"/>
      <c r="U264"/>
      <c r="V264"/>
      <c r="W264"/>
      <c r="X264"/>
      <c r="Y264"/>
    </row>
    <row r="265" spans="1:25" s="8" customFormat="1" ht="26.25" x14ac:dyDescent="0.25">
      <c r="B265" s="20" t="s">
        <v>17</v>
      </c>
      <c r="C265" s="21" t="s">
        <v>711</v>
      </c>
      <c r="D265" s="21" t="s">
        <v>712</v>
      </c>
      <c r="E265" s="21" t="s">
        <v>713</v>
      </c>
      <c r="F265" s="21" t="s">
        <v>714</v>
      </c>
      <c r="G265" s="60" t="s">
        <v>399</v>
      </c>
      <c r="H265" s="61" t="s">
        <v>22</v>
      </c>
      <c r="I265" s="22">
        <v>5</v>
      </c>
      <c r="J265" s="22">
        <v>166392</v>
      </c>
      <c r="K265" s="22">
        <f t="shared" si="11"/>
        <v>831960</v>
      </c>
      <c r="L265" s="22"/>
      <c r="M265" s="22"/>
      <c r="N265" s="22"/>
      <c r="O265" s="60" t="s">
        <v>23</v>
      </c>
      <c r="P265" s="24"/>
      <c r="Q265"/>
      <c r="R265"/>
      <c r="S265"/>
      <c r="T265"/>
      <c r="U265"/>
      <c r="V265"/>
      <c r="W265"/>
      <c r="X265"/>
      <c r="Y265"/>
    </row>
    <row r="266" spans="1:25" s="8" customFormat="1" ht="27" customHeight="1" x14ac:dyDescent="0.25">
      <c r="B266" s="20" t="s">
        <v>17</v>
      </c>
      <c r="C266" s="21" t="s">
        <v>715</v>
      </c>
      <c r="D266" s="21" t="s">
        <v>716</v>
      </c>
      <c r="E266" s="21" t="s">
        <v>717</v>
      </c>
      <c r="F266" s="21" t="s">
        <v>718</v>
      </c>
      <c r="G266" s="60" t="s">
        <v>255</v>
      </c>
      <c r="H266" s="61" t="s">
        <v>22</v>
      </c>
      <c r="I266" s="22">
        <v>42</v>
      </c>
      <c r="J266" s="22">
        <v>1200929.8999999999</v>
      </c>
      <c r="K266" s="22">
        <f t="shared" si="11"/>
        <v>50439055.799999997</v>
      </c>
      <c r="L266" s="22"/>
      <c r="M266" s="22"/>
      <c r="N266" s="22"/>
      <c r="O266" s="60" t="s">
        <v>23</v>
      </c>
      <c r="P266" s="24"/>
      <c r="Q266"/>
      <c r="R266"/>
      <c r="S266"/>
      <c r="T266"/>
      <c r="U266"/>
      <c r="V266"/>
      <c r="W266"/>
      <c r="X266"/>
      <c r="Y266"/>
    </row>
    <row r="267" spans="1:25" s="8" customFormat="1" ht="30" customHeight="1" x14ac:dyDescent="0.25">
      <c r="B267" s="20" t="s">
        <v>17</v>
      </c>
      <c r="C267" s="21" t="s">
        <v>719</v>
      </c>
      <c r="D267" s="21" t="s">
        <v>720</v>
      </c>
      <c r="E267" s="21" t="s">
        <v>721</v>
      </c>
      <c r="F267" s="21" t="s">
        <v>722</v>
      </c>
      <c r="G267" s="60" t="s">
        <v>399</v>
      </c>
      <c r="H267" s="61" t="s">
        <v>22</v>
      </c>
      <c r="I267" s="22">
        <v>35</v>
      </c>
      <c r="J267" s="22">
        <v>28214.29</v>
      </c>
      <c r="K267" s="22">
        <f t="shared" si="11"/>
        <v>987500.15</v>
      </c>
      <c r="L267" s="22"/>
      <c r="M267" s="22"/>
      <c r="N267" s="22"/>
      <c r="O267" s="60" t="s">
        <v>78</v>
      </c>
      <c r="P267" s="24"/>
      <c r="Q267"/>
      <c r="R267"/>
      <c r="S267"/>
      <c r="T267"/>
      <c r="U267"/>
      <c r="V267"/>
      <c r="W267"/>
      <c r="X267"/>
      <c r="Y267"/>
    </row>
    <row r="268" spans="1:25" s="8" customFormat="1" ht="26.25" x14ac:dyDescent="0.25">
      <c r="B268" s="20" t="s">
        <v>17</v>
      </c>
      <c r="C268" s="21" t="s">
        <v>723</v>
      </c>
      <c r="D268" s="21" t="s">
        <v>724</v>
      </c>
      <c r="E268" s="21" t="s">
        <v>725</v>
      </c>
      <c r="F268" s="21" t="s">
        <v>726</v>
      </c>
      <c r="G268" s="60" t="s">
        <v>72</v>
      </c>
      <c r="H268" s="61" t="s">
        <v>22</v>
      </c>
      <c r="I268" s="22">
        <v>3</v>
      </c>
      <c r="J268" s="22">
        <v>718686.61</v>
      </c>
      <c r="K268" s="22">
        <f t="shared" si="11"/>
        <v>2156059.83</v>
      </c>
      <c r="L268" s="22"/>
      <c r="M268" s="22"/>
      <c r="N268" s="22"/>
      <c r="O268" s="60" t="s">
        <v>78</v>
      </c>
      <c r="P268" s="24"/>
      <c r="Q268"/>
      <c r="R268"/>
      <c r="S268"/>
      <c r="T268"/>
      <c r="U268"/>
      <c r="V268"/>
      <c r="W268"/>
      <c r="X268"/>
      <c r="Y268"/>
    </row>
    <row r="269" spans="1:25" s="8" customFormat="1" ht="21" customHeight="1" x14ac:dyDescent="0.25">
      <c r="B269" s="20" t="s">
        <v>17</v>
      </c>
      <c r="C269" s="21" t="s">
        <v>727</v>
      </c>
      <c r="D269" s="21" t="s">
        <v>727</v>
      </c>
      <c r="E269" s="21" t="s">
        <v>728</v>
      </c>
      <c r="F269" s="21" t="s">
        <v>729</v>
      </c>
      <c r="G269" s="60" t="s">
        <v>255</v>
      </c>
      <c r="H269" s="61" t="s">
        <v>22</v>
      </c>
      <c r="I269" s="22">
        <v>2</v>
      </c>
      <c r="J269" s="22">
        <f>44916125-10708958.04-2207166.96</f>
        <v>32000000</v>
      </c>
      <c r="K269" s="22">
        <f t="shared" si="11"/>
        <v>64000000</v>
      </c>
      <c r="L269" s="22"/>
      <c r="M269" s="22"/>
      <c r="N269" s="22"/>
      <c r="O269" s="60" t="s">
        <v>23</v>
      </c>
      <c r="P269" s="24"/>
      <c r="Q269"/>
      <c r="R269"/>
      <c r="S269"/>
      <c r="T269"/>
      <c r="U269"/>
      <c r="V269"/>
      <c r="W269"/>
      <c r="X269"/>
      <c r="Y269"/>
    </row>
    <row r="270" spans="1:25" s="8" customFormat="1" ht="21.75" customHeight="1" x14ac:dyDescent="0.25">
      <c r="B270" s="20" t="s">
        <v>17</v>
      </c>
      <c r="C270" s="21" t="s">
        <v>727</v>
      </c>
      <c r="D270" s="21" t="s">
        <v>727</v>
      </c>
      <c r="E270" s="21" t="s">
        <v>730</v>
      </c>
      <c r="F270" s="21" t="s">
        <v>731</v>
      </c>
      <c r="G270" s="60" t="s">
        <v>255</v>
      </c>
      <c r="H270" s="61" t="s">
        <v>22</v>
      </c>
      <c r="I270" s="22">
        <v>6</v>
      </c>
      <c r="J270" s="22">
        <v>35823375</v>
      </c>
      <c r="K270" s="22">
        <f t="shared" si="11"/>
        <v>214940250</v>
      </c>
      <c r="L270" s="22"/>
      <c r="M270" s="22"/>
      <c r="N270" s="22"/>
      <c r="O270" s="60" t="s">
        <v>23</v>
      </c>
      <c r="P270" s="24"/>
      <c r="Q270"/>
      <c r="R270"/>
      <c r="S270"/>
      <c r="T270"/>
      <c r="U270"/>
      <c r="V270"/>
      <c r="W270"/>
      <c r="X270"/>
      <c r="Y270"/>
    </row>
    <row r="271" spans="1:25" s="8" customFormat="1" ht="21.75" customHeight="1" x14ac:dyDescent="0.25">
      <c r="B271" s="20" t="s">
        <v>17</v>
      </c>
      <c r="C271" s="21" t="s">
        <v>727</v>
      </c>
      <c r="D271" s="21" t="s">
        <v>727</v>
      </c>
      <c r="E271" s="21" t="s">
        <v>732</v>
      </c>
      <c r="F271" s="21" t="s">
        <v>733</v>
      </c>
      <c r="G271" s="60" t="s">
        <v>255</v>
      </c>
      <c r="H271" s="61" t="s">
        <v>22</v>
      </c>
      <c r="I271" s="22">
        <v>1</v>
      </c>
      <c r="J271" s="22">
        <f>38292187.5</f>
        <v>38292187.5</v>
      </c>
      <c r="K271" s="22">
        <f t="shared" si="11"/>
        <v>38292187.5</v>
      </c>
      <c r="L271" s="22"/>
      <c r="M271" s="22"/>
      <c r="N271" s="22"/>
      <c r="O271" s="60" t="s">
        <v>23</v>
      </c>
      <c r="P271" s="24"/>
      <c r="Q271"/>
      <c r="R271"/>
      <c r="S271"/>
      <c r="T271"/>
      <c r="U271"/>
      <c r="V271"/>
      <c r="W271"/>
      <c r="X271"/>
      <c r="Y271"/>
    </row>
    <row r="272" spans="1:25" s="8" customFormat="1" ht="23.25" customHeight="1" x14ac:dyDescent="0.25">
      <c r="B272" s="20" t="s">
        <v>17</v>
      </c>
      <c r="C272" s="21" t="s">
        <v>727</v>
      </c>
      <c r="D272" s="21" t="s">
        <v>727</v>
      </c>
      <c r="E272" s="21" t="s">
        <v>734</v>
      </c>
      <c r="F272" s="21" t="s">
        <v>735</v>
      </c>
      <c r="G272" s="60" t="s">
        <v>255</v>
      </c>
      <c r="H272" s="61" t="s">
        <v>22</v>
      </c>
      <c r="I272" s="22">
        <v>4</v>
      </c>
      <c r="J272" s="22">
        <v>46428571.420000002</v>
      </c>
      <c r="K272" s="22">
        <f t="shared" si="11"/>
        <v>185714285.68000001</v>
      </c>
      <c r="L272" s="24"/>
      <c r="M272" s="24"/>
      <c r="N272" s="22"/>
      <c r="O272" s="60" t="s">
        <v>23</v>
      </c>
      <c r="P272" s="24"/>
      <c r="Q272"/>
      <c r="R272"/>
      <c r="S272"/>
      <c r="T272"/>
      <c r="U272"/>
      <c r="V272"/>
      <c r="W272"/>
      <c r="X272"/>
      <c r="Y272"/>
    </row>
    <row r="273" spans="2:25" s="8" customFormat="1" ht="31.5" customHeight="1" x14ac:dyDescent="0.25">
      <c r="B273" s="20" t="s">
        <v>17</v>
      </c>
      <c r="C273" s="21" t="s">
        <v>727</v>
      </c>
      <c r="D273" s="21" t="s">
        <v>727</v>
      </c>
      <c r="E273" s="21" t="s">
        <v>736</v>
      </c>
      <c r="F273" s="21" t="s">
        <v>737</v>
      </c>
      <c r="G273" s="60" t="s">
        <v>255</v>
      </c>
      <c r="H273" s="61" t="s">
        <v>22</v>
      </c>
      <c r="I273" s="22">
        <v>1</v>
      </c>
      <c r="J273" s="22">
        <f>71428571.4285714-1400000</f>
        <v>70028571.428571403</v>
      </c>
      <c r="K273" s="22">
        <f>I273*J273</f>
        <v>70028571.428571403</v>
      </c>
      <c r="L273" s="24"/>
      <c r="M273" s="24"/>
      <c r="N273" s="22"/>
      <c r="O273" s="60" t="s">
        <v>23</v>
      </c>
      <c r="P273" s="24"/>
      <c r="Q273"/>
      <c r="R273"/>
      <c r="S273"/>
      <c r="T273"/>
      <c r="U273"/>
      <c r="V273"/>
      <c r="W273"/>
      <c r="X273"/>
      <c r="Y273"/>
    </row>
    <row r="274" spans="2:25" s="8" customFormat="1" ht="31.5" customHeight="1" x14ac:dyDescent="0.25">
      <c r="B274" s="20" t="s">
        <v>17</v>
      </c>
      <c r="C274" s="21" t="s">
        <v>738</v>
      </c>
      <c r="D274" s="21" t="s">
        <v>739</v>
      </c>
      <c r="E274" s="21" t="s">
        <v>740</v>
      </c>
      <c r="F274" s="21" t="s">
        <v>741</v>
      </c>
      <c r="G274" s="60" t="s">
        <v>255</v>
      </c>
      <c r="H274" s="61" t="s">
        <v>22</v>
      </c>
      <c r="I274" s="22">
        <v>10</v>
      </c>
      <c r="J274" s="22">
        <f>4517051.04-97051.04</f>
        <v>4420000</v>
      </c>
      <c r="K274" s="22">
        <f t="shared" si="11"/>
        <v>44200000</v>
      </c>
      <c r="L274" s="22"/>
      <c r="M274" s="22"/>
      <c r="N274" s="22"/>
      <c r="O274" s="60" t="s">
        <v>26</v>
      </c>
      <c r="P274" s="24"/>
      <c r="Q274"/>
      <c r="R274"/>
      <c r="S274"/>
      <c r="T274"/>
      <c r="U274"/>
      <c r="V274"/>
      <c r="W274"/>
      <c r="X274"/>
      <c r="Y274"/>
    </row>
    <row r="275" spans="2:25" s="8" customFormat="1" ht="33.75" customHeight="1" x14ac:dyDescent="0.25">
      <c r="B275" s="20" t="s">
        <v>17</v>
      </c>
      <c r="C275" s="21" t="s">
        <v>742</v>
      </c>
      <c r="D275" s="21" t="s">
        <v>743</v>
      </c>
      <c r="E275" s="21" t="s">
        <v>744</v>
      </c>
      <c r="F275" s="21" t="s">
        <v>745</v>
      </c>
      <c r="G275" s="60" t="s">
        <v>255</v>
      </c>
      <c r="H275" s="61" t="s">
        <v>22</v>
      </c>
      <c r="I275" s="22">
        <v>6</v>
      </c>
      <c r="J275" s="22">
        <v>2009000</v>
      </c>
      <c r="K275" s="22">
        <f>I275*J275</f>
        <v>12054000</v>
      </c>
      <c r="L275" s="22"/>
      <c r="M275" s="22"/>
      <c r="N275" s="22"/>
      <c r="O275" s="60" t="s">
        <v>52</v>
      </c>
      <c r="P275" s="24"/>
      <c r="Q275"/>
      <c r="R275"/>
      <c r="S275"/>
      <c r="T275"/>
      <c r="U275"/>
      <c r="V275"/>
      <c r="W275"/>
      <c r="X275"/>
      <c r="Y275"/>
    </row>
    <row r="276" spans="2:25" s="8" customFormat="1" ht="21.75" customHeight="1" x14ac:dyDescent="0.2">
      <c r="B276" s="20" t="s">
        <v>17</v>
      </c>
      <c r="C276" s="21" t="s">
        <v>746</v>
      </c>
      <c r="D276" s="21" t="s">
        <v>746</v>
      </c>
      <c r="E276" s="21" t="s">
        <v>747</v>
      </c>
      <c r="F276" s="21" t="s">
        <v>748</v>
      </c>
      <c r="G276" s="60" t="s">
        <v>255</v>
      </c>
      <c r="H276" s="61" t="s">
        <v>22</v>
      </c>
      <c r="I276" s="22">
        <v>6</v>
      </c>
      <c r="J276" s="22">
        <v>1446008.95</v>
      </c>
      <c r="K276" s="22">
        <f>I276*J276</f>
        <v>8676053.6999999993</v>
      </c>
      <c r="L276" s="22"/>
      <c r="M276" s="22"/>
      <c r="N276" s="22"/>
      <c r="O276" s="60" t="s">
        <v>23</v>
      </c>
      <c r="P276" s="24"/>
    </row>
    <row r="277" spans="2:25" s="8" customFormat="1" ht="19.5" customHeight="1" x14ac:dyDescent="0.2">
      <c r="B277" s="20" t="s">
        <v>17</v>
      </c>
      <c r="C277" s="21" t="s">
        <v>749</v>
      </c>
      <c r="D277" s="21" t="s">
        <v>750</v>
      </c>
      <c r="E277" s="21" t="s">
        <v>751</v>
      </c>
      <c r="F277" s="21" t="s">
        <v>752</v>
      </c>
      <c r="G277" s="60" t="s">
        <v>255</v>
      </c>
      <c r="H277" s="61" t="s">
        <v>22</v>
      </c>
      <c r="I277" s="22">
        <v>24</v>
      </c>
      <c r="J277" s="38">
        <v>727266.0625</v>
      </c>
      <c r="K277" s="22">
        <f>I277*J277</f>
        <v>17454385.5</v>
      </c>
      <c r="L277" s="22"/>
      <c r="M277" s="22"/>
      <c r="N277" s="22"/>
      <c r="O277" s="60" t="s">
        <v>26</v>
      </c>
      <c r="P277" s="24"/>
    </row>
    <row r="278" spans="2:25" s="8" customFormat="1" ht="28.5" customHeight="1" x14ac:dyDescent="0.25">
      <c r="B278" s="20" t="s">
        <v>17</v>
      </c>
      <c r="C278" s="21" t="s">
        <v>753</v>
      </c>
      <c r="D278" s="21" t="s">
        <v>754</v>
      </c>
      <c r="E278" s="21" t="s">
        <v>755</v>
      </c>
      <c r="F278" s="21" t="s">
        <v>756</v>
      </c>
      <c r="G278" s="60" t="s">
        <v>255</v>
      </c>
      <c r="H278" s="61" t="s">
        <v>463</v>
      </c>
      <c r="I278" s="22">
        <v>1</v>
      </c>
      <c r="J278" s="22">
        <f>123256680.4-1306680.4</f>
        <v>121950000</v>
      </c>
      <c r="K278" s="22">
        <f>I278*J278</f>
        <v>121950000</v>
      </c>
      <c r="L278" s="22"/>
      <c r="M278" s="22"/>
      <c r="N278" s="22"/>
      <c r="O278" s="60" t="s">
        <v>52</v>
      </c>
      <c r="P278" s="24"/>
      <c r="Q278"/>
      <c r="R278"/>
      <c r="S278"/>
      <c r="T278"/>
      <c r="U278"/>
      <c r="V278"/>
      <c r="W278"/>
      <c r="X278"/>
      <c r="Y278"/>
    </row>
    <row r="279" spans="2:25" s="8" customFormat="1" ht="30" customHeight="1" x14ac:dyDescent="0.25">
      <c r="B279" s="20" t="s">
        <v>17</v>
      </c>
      <c r="C279" s="21" t="s">
        <v>757</v>
      </c>
      <c r="D279" s="21" t="s">
        <v>758</v>
      </c>
      <c r="E279" s="21" t="s">
        <v>759</v>
      </c>
      <c r="F279" s="21" t="s">
        <v>760</v>
      </c>
      <c r="G279" s="60" t="s">
        <v>255</v>
      </c>
      <c r="H279" s="61" t="s">
        <v>22</v>
      </c>
      <c r="I279" s="22">
        <v>6</v>
      </c>
      <c r="J279" s="22">
        <f>26748511.9-166666.9</f>
        <v>26581845</v>
      </c>
      <c r="K279" s="22">
        <f t="shared" si="11"/>
        <v>159491070</v>
      </c>
      <c r="L279" s="22"/>
      <c r="M279" s="22"/>
      <c r="N279" s="22"/>
      <c r="O279" s="60" t="s">
        <v>26</v>
      </c>
      <c r="P279" s="24"/>
      <c r="Q279"/>
      <c r="R279"/>
      <c r="S279"/>
      <c r="T279"/>
      <c r="U279"/>
      <c r="V279"/>
      <c r="W279"/>
      <c r="X279"/>
      <c r="Y279"/>
    </row>
    <row r="280" spans="2:25" s="8" customFormat="1" ht="28.5" customHeight="1" x14ac:dyDescent="0.25">
      <c r="B280" s="20" t="s">
        <v>17</v>
      </c>
      <c r="C280" s="21" t="s">
        <v>757</v>
      </c>
      <c r="D280" s="21" t="s">
        <v>758</v>
      </c>
      <c r="E280" s="21" t="s">
        <v>761</v>
      </c>
      <c r="F280" s="21" t="s">
        <v>762</v>
      </c>
      <c r="G280" s="60" t="s">
        <v>255</v>
      </c>
      <c r="H280" s="61" t="s">
        <v>22</v>
      </c>
      <c r="I280" s="22">
        <v>4</v>
      </c>
      <c r="J280" s="22">
        <f>176750000/1.12/I280-250000</f>
        <v>39203124.999999993</v>
      </c>
      <c r="K280" s="22">
        <f>I280*J280</f>
        <v>156812499.99999997</v>
      </c>
      <c r="L280" s="22"/>
      <c r="M280" s="22"/>
      <c r="N280" s="22"/>
      <c r="O280" s="60" t="s">
        <v>26</v>
      </c>
      <c r="P280" s="24"/>
      <c r="Q280"/>
      <c r="R280"/>
      <c r="S280"/>
      <c r="T280"/>
      <c r="U280"/>
      <c r="V280"/>
      <c r="W280"/>
      <c r="X280"/>
      <c r="Y280"/>
    </row>
    <row r="281" spans="2:25" s="8" customFormat="1" ht="30" customHeight="1" x14ac:dyDescent="0.25">
      <c r="B281" s="20" t="s">
        <v>17</v>
      </c>
      <c r="C281" s="21" t="s">
        <v>763</v>
      </c>
      <c r="D281" s="21" t="s">
        <v>763</v>
      </c>
      <c r="E281" s="21" t="s">
        <v>764</v>
      </c>
      <c r="F281" s="21" t="s">
        <v>765</v>
      </c>
      <c r="G281" s="60" t="s">
        <v>255</v>
      </c>
      <c r="H281" s="61" t="s">
        <v>22</v>
      </c>
      <c r="I281" s="22">
        <v>120</v>
      </c>
      <c r="J281" s="22">
        <f>122848.21+18642.86</f>
        <v>141491.07</v>
      </c>
      <c r="K281" s="22">
        <f t="shared" si="11"/>
        <v>16978928.400000002</v>
      </c>
      <c r="L281" s="22"/>
      <c r="M281" s="22"/>
      <c r="N281" s="22"/>
      <c r="O281" s="60" t="s">
        <v>78</v>
      </c>
      <c r="P281" s="24"/>
      <c r="Q281"/>
      <c r="R281"/>
      <c r="S281"/>
      <c r="T281"/>
      <c r="U281"/>
      <c r="V281"/>
      <c r="W281"/>
      <c r="X281"/>
      <c r="Y281"/>
    </row>
    <row r="282" spans="2:25" s="8" customFormat="1" ht="36.75" customHeight="1" x14ac:dyDescent="0.25">
      <c r="B282" s="20" t="s">
        <v>17</v>
      </c>
      <c r="C282" s="21" t="s">
        <v>766</v>
      </c>
      <c r="D282" s="21" t="s">
        <v>767</v>
      </c>
      <c r="E282" s="21" t="s">
        <v>768</v>
      </c>
      <c r="F282" s="21" t="s">
        <v>769</v>
      </c>
      <c r="G282" s="60" t="s">
        <v>255</v>
      </c>
      <c r="H282" s="61" t="s">
        <v>770</v>
      </c>
      <c r="I282" s="22">
        <v>1</v>
      </c>
      <c r="J282" s="22">
        <v>143750000</v>
      </c>
      <c r="K282" s="22">
        <f t="shared" si="11"/>
        <v>143750000</v>
      </c>
      <c r="L282" s="22"/>
      <c r="M282" s="22"/>
      <c r="N282" s="22"/>
      <c r="O282" s="60" t="s">
        <v>78</v>
      </c>
      <c r="P282" s="24"/>
      <c r="Q282"/>
      <c r="R282"/>
      <c r="S282"/>
      <c r="T282"/>
      <c r="U282"/>
      <c r="V282"/>
      <c r="W282"/>
      <c r="X282"/>
      <c r="Y282"/>
    </row>
    <row r="283" spans="2:25" s="8" customFormat="1" ht="39.75" customHeight="1" x14ac:dyDescent="0.25">
      <c r="B283" s="20" t="s">
        <v>17</v>
      </c>
      <c r="C283" s="21" t="s">
        <v>771</v>
      </c>
      <c r="D283" s="21" t="s">
        <v>772</v>
      </c>
      <c r="E283" s="21" t="s">
        <v>773</v>
      </c>
      <c r="F283" s="21" t="s">
        <v>774</v>
      </c>
      <c r="G283" s="60" t="s">
        <v>255</v>
      </c>
      <c r="H283" s="61" t="s">
        <v>288</v>
      </c>
      <c r="I283" s="22">
        <v>1</v>
      </c>
      <c r="J283" s="22">
        <v>48150000</v>
      </c>
      <c r="K283" s="22">
        <f t="shared" si="11"/>
        <v>48150000</v>
      </c>
      <c r="L283" s="22"/>
      <c r="M283" s="22"/>
      <c r="N283" s="22"/>
      <c r="O283" s="60" t="s">
        <v>78</v>
      </c>
      <c r="P283" s="24"/>
      <c r="Q283"/>
      <c r="R283"/>
      <c r="S283"/>
      <c r="T283"/>
      <c r="U283"/>
      <c r="V283"/>
      <c r="W283"/>
      <c r="X283"/>
      <c r="Y283"/>
    </row>
    <row r="284" spans="2:25" s="8" customFormat="1" ht="29.25" customHeight="1" x14ac:dyDescent="0.25">
      <c r="B284" s="20" t="s">
        <v>17</v>
      </c>
      <c r="C284" s="21" t="s">
        <v>775</v>
      </c>
      <c r="D284" s="21" t="s">
        <v>776</v>
      </c>
      <c r="E284" s="21" t="s">
        <v>777</v>
      </c>
      <c r="F284" s="21" t="s">
        <v>778</v>
      </c>
      <c r="G284" s="60" t="s">
        <v>399</v>
      </c>
      <c r="H284" s="61" t="s">
        <v>245</v>
      </c>
      <c r="I284" s="22">
        <v>1</v>
      </c>
      <c r="J284" s="22">
        <f>3000000-1600000</f>
        <v>1400000</v>
      </c>
      <c r="K284" s="22">
        <f t="shared" si="11"/>
        <v>1400000</v>
      </c>
      <c r="L284" s="22"/>
      <c r="M284" s="22"/>
      <c r="N284" s="22"/>
      <c r="O284" s="60" t="s">
        <v>78</v>
      </c>
      <c r="P284" s="34"/>
      <c r="Q284"/>
      <c r="R284"/>
      <c r="S284"/>
      <c r="T284"/>
      <c r="U284"/>
      <c r="V284"/>
      <c r="W284"/>
      <c r="X284"/>
      <c r="Y284"/>
    </row>
    <row r="285" spans="2:25" s="8" customFormat="1" ht="37.5" customHeight="1" x14ac:dyDescent="0.25">
      <c r="B285" s="20" t="s">
        <v>17</v>
      </c>
      <c r="C285" s="21" t="s">
        <v>775</v>
      </c>
      <c r="D285" s="21" t="s">
        <v>776</v>
      </c>
      <c r="E285" s="21" t="s">
        <v>779</v>
      </c>
      <c r="F285" s="21" t="s">
        <v>780</v>
      </c>
      <c r="G285" s="60" t="s">
        <v>72</v>
      </c>
      <c r="H285" s="61" t="s">
        <v>245</v>
      </c>
      <c r="I285" s="22">
        <v>1</v>
      </c>
      <c r="J285" s="22">
        <f>3000000-1400000</f>
        <v>1600000</v>
      </c>
      <c r="K285" s="22">
        <f t="shared" si="11"/>
        <v>1600000</v>
      </c>
      <c r="L285" s="22"/>
      <c r="M285" s="22"/>
      <c r="N285" s="22"/>
      <c r="O285" s="60" t="s">
        <v>78</v>
      </c>
      <c r="P285" s="34"/>
      <c r="Q285"/>
      <c r="R285"/>
      <c r="S285"/>
      <c r="T285"/>
      <c r="U285"/>
      <c r="V285"/>
      <c r="W285"/>
      <c r="X285"/>
      <c r="Y285"/>
    </row>
    <row r="286" spans="2:25" s="8" customFormat="1" ht="41.25" customHeight="1" x14ac:dyDescent="0.25">
      <c r="B286" s="20" t="s">
        <v>17</v>
      </c>
      <c r="C286" s="21" t="s">
        <v>775</v>
      </c>
      <c r="D286" s="21" t="s">
        <v>776</v>
      </c>
      <c r="E286" s="21" t="s">
        <v>781</v>
      </c>
      <c r="F286" s="21" t="s">
        <v>782</v>
      </c>
      <c r="G286" s="60" t="s">
        <v>399</v>
      </c>
      <c r="H286" s="61" t="s">
        <v>245</v>
      </c>
      <c r="I286" s="22">
        <v>1</v>
      </c>
      <c r="J286" s="22">
        <v>3815624.9999999995</v>
      </c>
      <c r="K286" s="22">
        <f t="shared" si="11"/>
        <v>3815624.9999999995</v>
      </c>
      <c r="L286" s="22"/>
      <c r="M286" s="22"/>
      <c r="N286" s="22"/>
      <c r="O286" s="60" t="s">
        <v>23</v>
      </c>
      <c r="P286" s="24"/>
      <c r="Q286"/>
      <c r="R286"/>
      <c r="S286"/>
      <c r="T286"/>
      <c r="U286"/>
      <c r="V286"/>
      <c r="W286"/>
      <c r="X286"/>
      <c r="Y286"/>
    </row>
    <row r="287" spans="2:25" s="8" customFormat="1" ht="32.25" customHeight="1" x14ac:dyDescent="0.25">
      <c r="B287" s="20" t="s">
        <v>17</v>
      </c>
      <c r="C287" s="21" t="s">
        <v>775</v>
      </c>
      <c r="D287" s="21" t="s">
        <v>776</v>
      </c>
      <c r="E287" s="21" t="s">
        <v>783</v>
      </c>
      <c r="F287" s="21" t="s">
        <v>784</v>
      </c>
      <c r="G287" s="60" t="s">
        <v>72</v>
      </c>
      <c r="H287" s="61" t="s">
        <v>245</v>
      </c>
      <c r="I287" s="22">
        <v>1</v>
      </c>
      <c r="J287" s="22">
        <v>173010600</v>
      </c>
      <c r="K287" s="22">
        <f t="shared" si="11"/>
        <v>173010600</v>
      </c>
      <c r="L287" s="22"/>
      <c r="M287" s="22"/>
      <c r="N287" s="22"/>
      <c r="O287" s="60" t="s">
        <v>52</v>
      </c>
      <c r="P287" s="24"/>
      <c r="Q287"/>
      <c r="R287"/>
      <c r="S287"/>
      <c r="T287"/>
      <c r="U287"/>
      <c r="V287"/>
      <c r="W287"/>
      <c r="X287"/>
      <c r="Y287"/>
    </row>
    <row r="288" spans="2:25" s="8" customFormat="1" ht="54" customHeight="1" x14ac:dyDescent="0.25">
      <c r="B288" s="20" t="s">
        <v>17</v>
      </c>
      <c r="C288" s="21" t="s">
        <v>775</v>
      </c>
      <c r="D288" s="21" t="s">
        <v>776</v>
      </c>
      <c r="E288" s="21" t="s">
        <v>785</v>
      </c>
      <c r="F288" s="21" t="s">
        <v>786</v>
      </c>
      <c r="G288" s="60" t="s">
        <v>72</v>
      </c>
      <c r="H288" s="61" t="s">
        <v>245</v>
      </c>
      <c r="I288" s="22">
        <v>1</v>
      </c>
      <c r="J288" s="22">
        <v>4500000</v>
      </c>
      <c r="K288" s="22">
        <f>I288*J288</f>
        <v>4500000</v>
      </c>
      <c r="L288" s="22"/>
      <c r="M288" s="22"/>
      <c r="N288" s="22"/>
      <c r="O288" s="60" t="s">
        <v>26</v>
      </c>
      <c r="P288" s="24"/>
      <c r="Q288"/>
      <c r="R288"/>
      <c r="S288"/>
      <c r="T288"/>
      <c r="U288"/>
      <c r="V288"/>
      <c r="W288"/>
      <c r="X288"/>
      <c r="Y288"/>
    </row>
    <row r="289" spans="1:25" s="8" customFormat="1" hidden="1" x14ac:dyDescent="0.25">
      <c r="C289" s="6"/>
      <c r="D289" s="6"/>
      <c r="E289" s="6"/>
      <c r="F289" s="6"/>
      <c r="K289" s="25">
        <f>SUM(K6:K288)</f>
        <v>4748423797.5560713</v>
      </c>
      <c r="Q289"/>
      <c r="R289"/>
      <c r="S289"/>
      <c r="T289"/>
      <c r="U289"/>
      <c r="V289"/>
      <c r="W289"/>
      <c r="X289"/>
      <c r="Y289"/>
    </row>
    <row r="290" spans="1:25" s="8" customFormat="1" x14ac:dyDescent="0.25">
      <c r="A290"/>
      <c r="C290" s="6"/>
      <c r="D290" s="6"/>
      <c r="E290" s="6"/>
      <c r="F290" s="6"/>
      <c r="K290" s="25"/>
      <c r="Q290"/>
      <c r="R290"/>
      <c r="S290"/>
      <c r="T290"/>
      <c r="U290"/>
      <c r="V290"/>
      <c r="W290"/>
      <c r="X290"/>
      <c r="Y290"/>
    </row>
    <row r="291" spans="1:25" s="8" customFormat="1" x14ac:dyDescent="0.25">
      <c r="A291"/>
      <c r="B291" s="26"/>
      <c r="C291" s="39"/>
      <c r="D291" s="39"/>
      <c r="E291" s="39"/>
      <c r="F291" s="39"/>
      <c r="K291" s="25"/>
      <c r="Q291"/>
      <c r="R291"/>
      <c r="S291"/>
      <c r="T291"/>
      <c r="U291"/>
      <c r="V291"/>
      <c r="W291"/>
      <c r="X291"/>
      <c r="Y291"/>
    </row>
    <row r="292" spans="1:25" s="8" customFormat="1" ht="12" customHeight="1" x14ac:dyDescent="0.25">
      <c r="A292"/>
      <c r="C292" s="39"/>
      <c r="D292" s="40"/>
      <c r="E292" s="41" t="s">
        <v>787</v>
      </c>
      <c r="F292" s="19"/>
      <c r="G292" s="42" t="s">
        <v>788</v>
      </c>
      <c r="I292" s="43"/>
      <c r="K292" s="33"/>
      <c r="Q292"/>
      <c r="R292"/>
      <c r="S292"/>
      <c r="T292"/>
      <c r="U292"/>
      <c r="V292"/>
      <c r="W292"/>
      <c r="X292"/>
      <c r="Y292"/>
    </row>
    <row r="293" spans="1:25" s="8" customFormat="1" x14ac:dyDescent="0.25">
      <c r="A293"/>
      <c r="B293" s="26"/>
      <c r="C293" s="39"/>
      <c r="D293" s="40"/>
      <c r="E293" s="40"/>
      <c r="F293" s="40"/>
      <c r="I293" s="43"/>
      <c r="J293" s="2"/>
      <c r="K293" s="33"/>
      <c r="M293" s="25"/>
      <c r="O293" s="25"/>
      <c r="P293" s="33"/>
      <c r="Q293"/>
      <c r="R293"/>
      <c r="S293"/>
      <c r="T293"/>
      <c r="U293"/>
      <c r="V293"/>
      <c r="W293"/>
      <c r="X293"/>
      <c r="Y293"/>
    </row>
    <row r="294" spans="1:25" s="8" customFormat="1" x14ac:dyDescent="0.25">
      <c r="A294"/>
      <c r="C294" s="39"/>
      <c r="D294" s="40"/>
      <c r="E294" s="40"/>
      <c r="F294" s="40"/>
      <c r="G294" s="40"/>
      <c r="I294" s="43"/>
      <c r="J294" s="2"/>
      <c r="K294" s="33"/>
      <c r="P294" s="33"/>
      <c r="Q294"/>
      <c r="R294"/>
      <c r="S294"/>
      <c r="T294"/>
      <c r="U294"/>
      <c r="V294"/>
      <c r="W294"/>
      <c r="X294"/>
      <c r="Y294"/>
    </row>
    <row r="295" spans="1:25" s="8" customFormat="1" x14ac:dyDescent="0.25">
      <c r="A295"/>
      <c r="F295" s="6"/>
      <c r="J295" s="2"/>
      <c r="K295" s="25"/>
      <c r="Q295"/>
      <c r="R295"/>
      <c r="S295"/>
      <c r="T295"/>
      <c r="U295"/>
      <c r="V295"/>
      <c r="W295"/>
      <c r="X295"/>
      <c r="Y295"/>
    </row>
    <row r="296" spans="1:25" s="8" customFormat="1" x14ac:dyDescent="0.25">
      <c r="A296"/>
      <c r="F296" s="6"/>
      <c r="J296" s="2"/>
      <c r="K296" s="25"/>
      <c r="Q296"/>
      <c r="R296"/>
      <c r="S296"/>
      <c r="T296"/>
      <c r="U296"/>
      <c r="V296"/>
      <c r="W296"/>
      <c r="X296"/>
      <c r="Y296"/>
    </row>
    <row r="297" spans="1:25" s="8" customFormat="1" x14ac:dyDescent="0.25">
      <c r="A297"/>
      <c r="F297" s="6"/>
      <c r="J297" s="2"/>
      <c r="K297" s="25"/>
      <c r="Q297"/>
      <c r="R297"/>
      <c r="S297"/>
      <c r="T297"/>
      <c r="U297"/>
      <c r="V297"/>
      <c r="W297"/>
      <c r="X297"/>
      <c r="Y297"/>
    </row>
    <row r="298" spans="1:25" s="8" customFormat="1" x14ac:dyDescent="0.25">
      <c r="A298"/>
      <c r="F298" s="6"/>
      <c r="J298" s="2"/>
      <c r="K298" s="25"/>
      <c r="Q298"/>
      <c r="R298"/>
      <c r="S298"/>
      <c r="T298"/>
      <c r="U298"/>
      <c r="V298"/>
      <c r="W298"/>
      <c r="X298"/>
      <c r="Y298"/>
    </row>
    <row r="299" spans="1:25" s="8" customFormat="1" x14ac:dyDescent="0.25">
      <c r="A299"/>
      <c r="F299" s="6"/>
      <c r="J299" s="2"/>
      <c r="K299" s="25"/>
      <c r="Q299"/>
      <c r="R299"/>
      <c r="S299"/>
      <c r="T299"/>
      <c r="U299"/>
      <c r="V299"/>
      <c r="W299"/>
      <c r="X299"/>
      <c r="Y299"/>
    </row>
    <row r="300" spans="1:25" s="8" customFormat="1" x14ac:dyDescent="0.25">
      <c r="A300"/>
      <c r="F300" s="6"/>
      <c r="J300" s="2"/>
      <c r="K300" s="25"/>
      <c r="Q300"/>
      <c r="R300"/>
      <c r="S300"/>
      <c r="T300"/>
      <c r="U300"/>
      <c r="V300"/>
      <c r="W300"/>
      <c r="X300"/>
      <c r="Y300"/>
    </row>
    <row r="301" spans="1:25" s="8" customFormat="1" x14ac:dyDescent="0.25">
      <c r="A301"/>
      <c r="F301" s="6"/>
      <c r="J301" s="2"/>
      <c r="K301" s="25"/>
      <c r="Q301"/>
      <c r="R301"/>
      <c r="S301"/>
      <c r="T301"/>
      <c r="U301"/>
      <c r="V301"/>
      <c r="W301"/>
      <c r="X301"/>
      <c r="Y301"/>
    </row>
    <row r="302" spans="1:25" s="8" customFormat="1" x14ac:dyDescent="0.25">
      <c r="A302"/>
      <c r="F302" s="6"/>
      <c r="J302" s="2"/>
      <c r="K302" s="25"/>
      <c r="Q302"/>
      <c r="R302"/>
      <c r="S302"/>
      <c r="T302"/>
      <c r="U302"/>
      <c r="V302"/>
      <c r="W302"/>
      <c r="X302"/>
      <c r="Y302"/>
    </row>
    <row r="303" spans="1:25" s="8" customFormat="1" x14ac:dyDescent="0.25">
      <c r="A303"/>
      <c r="B303" s="6"/>
      <c r="C303" s="6"/>
      <c r="D303" s="6"/>
      <c r="E303" s="6"/>
      <c r="F303" s="6"/>
      <c r="J303" s="2"/>
      <c r="K303" s="25"/>
      <c r="Q303"/>
      <c r="R303"/>
      <c r="S303"/>
      <c r="T303"/>
      <c r="U303"/>
      <c r="V303"/>
      <c r="W303"/>
      <c r="X303"/>
      <c r="Y303"/>
    </row>
    <row r="304" spans="1:25" s="8" customFormat="1" x14ac:dyDescent="0.25">
      <c r="A304"/>
      <c r="B304" s="39"/>
      <c r="C304" s="6"/>
      <c r="D304" s="6"/>
      <c r="E304" s="6"/>
      <c r="F304" s="6"/>
      <c r="J304" s="2"/>
      <c r="K304" s="25"/>
      <c r="Q304"/>
      <c r="R304"/>
      <c r="S304"/>
      <c r="T304"/>
      <c r="U304"/>
      <c r="V304"/>
      <c r="W304"/>
      <c r="X304"/>
      <c r="Y304"/>
    </row>
    <row r="305" spans="1:25" s="8" customFormat="1" x14ac:dyDescent="0.25">
      <c r="A305"/>
      <c r="B305" s="44"/>
      <c r="C305" s="44"/>
      <c r="E305" s="7"/>
      <c r="F305" s="6"/>
      <c r="J305" s="2"/>
      <c r="K305" s="25"/>
      <c r="Q305"/>
      <c r="R305"/>
      <c r="S305"/>
      <c r="T305"/>
      <c r="U305"/>
      <c r="V305"/>
      <c r="W305"/>
      <c r="X305"/>
      <c r="Y305"/>
    </row>
    <row r="306" spans="1:25" s="8" customFormat="1" x14ac:dyDescent="0.25">
      <c r="A306"/>
      <c r="B306" s="39"/>
      <c r="C306" s="6"/>
      <c r="E306" s="7"/>
      <c r="F306" s="6"/>
      <c r="J306" s="2"/>
      <c r="K306" s="25"/>
      <c r="Q306"/>
      <c r="R306"/>
      <c r="S306"/>
      <c r="T306"/>
      <c r="U306"/>
      <c r="V306"/>
      <c r="W306"/>
      <c r="X306"/>
      <c r="Y306"/>
    </row>
    <row r="307" spans="1:25" s="8" customFormat="1" x14ac:dyDescent="0.25">
      <c r="A307"/>
      <c r="B307" s="44"/>
      <c r="C307" s="44"/>
      <c r="E307" s="7"/>
      <c r="F307" s="6"/>
      <c r="J307" s="2"/>
      <c r="K307" s="25"/>
      <c r="Q307"/>
      <c r="R307"/>
      <c r="S307"/>
      <c r="T307"/>
      <c r="U307"/>
      <c r="V307"/>
      <c r="W307"/>
      <c r="X307"/>
      <c r="Y307"/>
    </row>
    <row r="308" spans="1:25" s="8" customFormat="1" x14ac:dyDescent="0.25">
      <c r="A308"/>
      <c r="B308" s="39"/>
      <c r="C308" s="6"/>
      <c r="E308" s="7"/>
      <c r="F308" s="6"/>
      <c r="J308" s="2"/>
      <c r="K308" s="25"/>
      <c r="Q308"/>
      <c r="R308"/>
      <c r="S308"/>
      <c r="T308"/>
      <c r="U308"/>
      <c r="V308"/>
      <c r="W308"/>
      <c r="X308"/>
      <c r="Y308"/>
    </row>
    <row r="309" spans="1:25" s="8" customFormat="1" x14ac:dyDescent="0.25">
      <c r="A309"/>
      <c r="B309" s="44"/>
      <c r="C309" s="44"/>
      <c r="E309" s="7"/>
      <c r="F309" s="6"/>
      <c r="J309" s="2"/>
      <c r="K309" s="25"/>
      <c r="Q309"/>
      <c r="R309"/>
      <c r="S309"/>
      <c r="T309"/>
      <c r="U309"/>
      <c r="V309"/>
      <c r="W309"/>
      <c r="X309"/>
      <c r="Y309"/>
    </row>
    <row r="310" spans="1:25" s="8" customFormat="1" x14ac:dyDescent="0.25">
      <c r="A310"/>
      <c r="E310" s="13"/>
      <c r="F310" s="6"/>
      <c r="J310" s="2"/>
      <c r="K310" s="25"/>
      <c r="Q310"/>
      <c r="R310"/>
      <c r="S310"/>
      <c r="T310"/>
      <c r="U310"/>
      <c r="V310"/>
      <c r="W310"/>
      <c r="X310"/>
      <c r="Y310"/>
    </row>
    <row r="311" spans="1:25" s="8" customFormat="1" x14ac:dyDescent="0.25">
      <c r="A311"/>
      <c r="B311" s="6"/>
      <c r="C311" s="6"/>
      <c r="E311" s="7"/>
      <c r="F311" s="6"/>
      <c r="J311" s="2"/>
      <c r="K311" s="25"/>
      <c r="Q311"/>
      <c r="R311"/>
      <c r="S311"/>
      <c r="T311"/>
      <c r="U311"/>
      <c r="V311"/>
      <c r="W311"/>
      <c r="X311"/>
      <c r="Y311"/>
    </row>
    <row r="312" spans="1:25" s="8" customFormat="1" x14ac:dyDescent="0.25">
      <c r="A312"/>
      <c r="B312" s="6"/>
      <c r="C312" s="6"/>
      <c r="E312" s="7"/>
      <c r="F312" s="6"/>
      <c r="J312" s="2"/>
      <c r="K312" s="25"/>
      <c r="Q312"/>
      <c r="R312"/>
      <c r="S312"/>
      <c r="T312"/>
      <c r="U312"/>
      <c r="V312"/>
      <c r="W312"/>
      <c r="X312"/>
      <c r="Y312"/>
    </row>
    <row r="313" spans="1:25" s="8" customFormat="1" x14ac:dyDescent="0.25">
      <c r="A313"/>
      <c r="B313" s="6"/>
      <c r="C313" s="6"/>
      <c r="E313" s="7"/>
      <c r="F313" s="6"/>
      <c r="J313" s="2"/>
      <c r="K313" s="25"/>
      <c r="Q313"/>
      <c r="R313"/>
      <c r="S313"/>
      <c r="T313"/>
      <c r="U313"/>
      <c r="V313"/>
      <c r="W313"/>
      <c r="X313"/>
      <c r="Y313"/>
    </row>
    <row r="314" spans="1:25" s="8" customFormat="1" x14ac:dyDescent="0.25">
      <c r="A314"/>
      <c r="B314" s="6"/>
      <c r="C314" s="6"/>
      <c r="E314" s="7"/>
      <c r="F314" s="6"/>
      <c r="J314" s="2"/>
      <c r="K314" s="25"/>
      <c r="Q314"/>
      <c r="R314"/>
      <c r="S314"/>
      <c r="T314"/>
      <c r="U314"/>
      <c r="V314"/>
      <c r="W314"/>
      <c r="X314"/>
      <c r="Y314"/>
    </row>
    <row r="315" spans="1:25" s="8" customFormat="1" x14ac:dyDescent="0.25">
      <c r="A315"/>
      <c r="B315" s="45"/>
      <c r="C315" s="46"/>
      <c r="E315" s="7"/>
      <c r="F315" s="6"/>
      <c r="J315" s="2"/>
      <c r="K315" s="25"/>
      <c r="Q315"/>
      <c r="R315"/>
      <c r="S315"/>
      <c r="T315"/>
      <c r="U315"/>
      <c r="V315"/>
      <c r="W315"/>
      <c r="X315"/>
      <c r="Y315"/>
    </row>
    <row r="316" spans="1:25" s="8" customFormat="1" x14ac:dyDescent="0.25">
      <c r="A316"/>
      <c r="B316" s="6"/>
      <c r="C316" s="6"/>
      <c r="E316" s="7"/>
      <c r="F316" s="6"/>
      <c r="J316" s="2"/>
      <c r="K316" s="25"/>
      <c r="Q316"/>
      <c r="R316"/>
      <c r="S316"/>
      <c r="T316"/>
      <c r="U316"/>
      <c r="V316"/>
      <c r="W316"/>
      <c r="X316"/>
      <c r="Y316"/>
    </row>
    <row r="317" spans="1:25" s="8" customFormat="1" x14ac:dyDescent="0.25">
      <c r="A317"/>
      <c r="B317" s="6"/>
      <c r="C317" s="6"/>
      <c r="E317" s="7"/>
      <c r="F317" s="6"/>
      <c r="J317" s="2"/>
      <c r="K317" s="25"/>
      <c r="Q317"/>
      <c r="R317"/>
      <c r="S317"/>
      <c r="T317"/>
      <c r="U317"/>
      <c r="V317"/>
      <c r="W317"/>
      <c r="X317"/>
      <c r="Y317"/>
    </row>
    <row r="318" spans="1:25" s="8" customFormat="1" x14ac:dyDescent="0.25">
      <c r="A318"/>
      <c r="B318" s="6"/>
      <c r="C318" s="6"/>
      <c r="E318" s="7"/>
      <c r="F318" s="6"/>
      <c r="J318" s="2"/>
      <c r="K318" s="25"/>
      <c r="Q318"/>
      <c r="R318"/>
      <c r="S318"/>
      <c r="T318"/>
      <c r="U318"/>
      <c r="V318"/>
      <c r="W318"/>
      <c r="X318"/>
      <c r="Y318"/>
    </row>
    <row r="319" spans="1:25" s="8" customFormat="1" x14ac:dyDescent="0.25">
      <c r="A319"/>
      <c r="B319" s="6"/>
      <c r="C319" s="6"/>
      <c r="E319" s="7"/>
      <c r="F319" s="6"/>
      <c r="J319" s="2"/>
      <c r="K319" s="25"/>
      <c r="Q319"/>
      <c r="R319"/>
      <c r="S319"/>
      <c r="T319"/>
      <c r="U319"/>
      <c r="V319"/>
      <c r="W319"/>
      <c r="X319"/>
      <c r="Y319"/>
    </row>
    <row r="320" spans="1:25" s="8" customFormat="1" x14ac:dyDescent="0.25">
      <c r="A320"/>
      <c r="B320" s="6"/>
      <c r="C320" s="6"/>
      <c r="E320" s="7"/>
      <c r="F320" s="6"/>
      <c r="J320" s="2"/>
      <c r="K320" s="25"/>
      <c r="Q320"/>
      <c r="R320"/>
      <c r="S320"/>
      <c r="T320"/>
      <c r="U320"/>
      <c r="V320"/>
      <c r="W320"/>
      <c r="X320"/>
      <c r="Y320"/>
    </row>
    <row r="321" spans="1:25" s="8" customFormat="1" x14ac:dyDescent="0.25">
      <c r="A321"/>
      <c r="B321" s="6"/>
      <c r="C321" s="6"/>
      <c r="E321" s="7"/>
      <c r="F321" s="6"/>
      <c r="J321" s="2"/>
      <c r="K321" s="25"/>
      <c r="Q321"/>
      <c r="R321"/>
      <c r="S321"/>
      <c r="T321"/>
      <c r="U321"/>
      <c r="V321"/>
      <c r="W321"/>
      <c r="X321"/>
      <c r="Y321"/>
    </row>
    <row r="322" spans="1:25" s="8" customFormat="1" x14ac:dyDescent="0.25">
      <c r="A322"/>
      <c r="B322" s="6"/>
      <c r="C322" s="6"/>
      <c r="E322" s="7"/>
      <c r="F322" s="6"/>
      <c r="J322" s="2"/>
      <c r="K322" s="25"/>
      <c r="Q322"/>
      <c r="R322"/>
      <c r="S322"/>
      <c r="T322"/>
      <c r="U322"/>
      <c r="V322"/>
      <c r="W322"/>
      <c r="X322"/>
      <c r="Y322"/>
    </row>
    <row r="323" spans="1:25" s="8" customFormat="1" x14ac:dyDescent="0.25">
      <c r="A323"/>
      <c r="B323" s="6"/>
      <c r="C323" s="6"/>
      <c r="E323" s="7"/>
      <c r="F323" s="6"/>
      <c r="J323" s="2"/>
      <c r="K323" s="25"/>
      <c r="Q323"/>
      <c r="R323"/>
      <c r="S323"/>
      <c r="T323"/>
      <c r="U323"/>
      <c r="V323"/>
      <c r="W323"/>
      <c r="X323"/>
      <c r="Y323"/>
    </row>
    <row r="324" spans="1:25" s="8" customFormat="1" x14ac:dyDescent="0.25">
      <c r="A324"/>
      <c r="B324" s="6"/>
      <c r="C324" s="6"/>
      <c r="E324" s="7"/>
      <c r="F324" s="6"/>
      <c r="J324" s="2"/>
      <c r="K324" s="25"/>
      <c r="Q324"/>
      <c r="R324"/>
      <c r="S324"/>
      <c r="T324"/>
      <c r="U324"/>
      <c r="V324"/>
      <c r="W324"/>
      <c r="X324"/>
      <c r="Y324"/>
    </row>
    <row r="325" spans="1:25" s="8" customFormat="1" x14ac:dyDescent="0.25">
      <c r="A325"/>
      <c r="B325" s="45"/>
      <c r="C325" s="46"/>
      <c r="E325" s="7"/>
      <c r="F325" s="6"/>
      <c r="J325" s="2"/>
      <c r="K325" s="25"/>
      <c r="Q325"/>
      <c r="R325"/>
      <c r="S325"/>
      <c r="T325"/>
      <c r="U325"/>
      <c r="V325"/>
      <c r="W325"/>
      <c r="X325"/>
      <c r="Y325"/>
    </row>
    <row r="326" spans="1:25" s="8" customFormat="1" x14ac:dyDescent="0.25">
      <c r="A326"/>
      <c r="B326" s="6"/>
      <c r="C326" s="6"/>
      <c r="E326" s="7"/>
      <c r="F326" s="6"/>
      <c r="J326" s="2"/>
      <c r="K326" s="25"/>
      <c r="Q326"/>
      <c r="R326"/>
      <c r="S326"/>
      <c r="T326"/>
      <c r="U326"/>
      <c r="V326"/>
      <c r="W326"/>
      <c r="X326"/>
      <c r="Y326"/>
    </row>
    <row r="327" spans="1:25" s="8" customFormat="1" x14ac:dyDescent="0.25">
      <c r="A327"/>
      <c r="B327" s="6"/>
      <c r="C327" s="6"/>
      <c r="E327" s="7"/>
      <c r="F327" s="6"/>
      <c r="J327" s="2"/>
      <c r="K327" s="25"/>
      <c r="Q327"/>
      <c r="R327"/>
      <c r="S327"/>
      <c r="T327"/>
      <c r="U327"/>
      <c r="V327"/>
      <c r="W327"/>
      <c r="X327"/>
      <c r="Y327"/>
    </row>
    <row r="328" spans="1:25" s="8" customFormat="1" x14ac:dyDescent="0.25">
      <c r="A328"/>
      <c r="C328" s="6"/>
      <c r="E328" s="7"/>
      <c r="F328" s="6"/>
      <c r="J328" s="2"/>
      <c r="K328" s="25"/>
      <c r="Q328"/>
      <c r="R328"/>
      <c r="S328"/>
      <c r="T328"/>
      <c r="U328"/>
      <c r="V328"/>
      <c r="W328"/>
      <c r="X328"/>
      <c r="Y328"/>
    </row>
    <row r="329" spans="1:25" s="8" customFormat="1" x14ac:dyDescent="0.25">
      <c r="A329"/>
      <c r="B329" s="6"/>
      <c r="C329" s="6"/>
      <c r="E329" s="7"/>
      <c r="F329" s="6"/>
      <c r="J329" s="2"/>
      <c r="K329" s="25"/>
      <c r="Q329"/>
      <c r="R329"/>
      <c r="S329"/>
      <c r="T329"/>
      <c r="U329"/>
      <c r="V329"/>
      <c r="W329"/>
      <c r="X329"/>
      <c r="Y329"/>
    </row>
    <row r="330" spans="1:25" s="8" customFormat="1" x14ac:dyDescent="0.25">
      <c r="A330"/>
      <c r="C330" s="6"/>
      <c r="E330" s="7"/>
      <c r="F330" s="6"/>
      <c r="J330" s="2"/>
      <c r="K330" s="25"/>
      <c r="Q330"/>
      <c r="R330"/>
      <c r="S330"/>
      <c r="T330"/>
      <c r="U330"/>
      <c r="V330"/>
      <c r="W330"/>
      <c r="X330"/>
      <c r="Y330"/>
    </row>
    <row r="331" spans="1:25" s="8" customFormat="1" x14ac:dyDescent="0.25">
      <c r="A331"/>
      <c r="B331" s="6"/>
      <c r="C331" s="6"/>
      <c r="E331" s="7"/>
      <c r="F331" s="6"/>
      <c r="J331" s="2"/>
      <c r="K331" s="25"/>
      <c r="Q331"/>
      <c r="R331"/>
      <c r="S331"/>
      <c r="T331"/>
      <c r="U331"/>
      <c r="V331"/>
      <c r="W331"/>
      <c r="X331"/>
      <c r="Y331"/>
    </row>
    <row r="332" spans="1:25" s="8" customFormat="1" ht="18.75" x14ac:dyDescent="0.3">
      <c r="A332"/>
      <c r="C332" s="6"/>
      <c r="E332" s="7"/>
      <c r="F332" s="6"/>
      <c r="K332" s="47"/>
      <c r="Q332"/>
      <c r="R332"/>
      <c r="S332"/>
      <c r="T332"/>
      <c r="U332"/>
      <c r="V332"/>
      <c r="W332"/>
      <c r="X332"/>
      <c r="Y332"/>
    </row>
    <row r="333" spans="1:25" s="8" customFormat="1" x14ac:dyDescent="0.25">
      <c r="A333"/>
      <c r="B333" s="6"/>
      <c r="C333" s="6"/>
      <c r="E333" s="7"/>
      <c r="F333" s="6"/>
      <c r="J333" s="2"/>
      <c r="K333" s="25"/>
      <c r="O333" s="25"/>
      <c r="Q333"/>
      <c r="R333"/>
      <c r="S333"/>
      <c r="T333"/>
      <c r="U333"/>
      <c r="V333"/>
      <c r="W333"/>
      <c r="X333"/>
      <c r="Y333"/>
    </row>
    <row r="334" spans="1:25" s="8" customFormat="1" x14ac:dyDescent="0.25">
      <c r="A334"/>
      <c r="C334" s="6"/>
      <c r="D334" s="7"/>
      <c r="E334" s="6"/>
      <c r="F334" s="6"/>
      <c r="K334" s="25"/>
      <c r="Q334"/>
      <c r="R334"/>
      <c r="S334"/>
      <c r="T334"/>
      <c r="U334"/>
      <c r="V334"/>
      <c r="W334"/>
      <c r="X334"/>
      <c r="Y334"/>
    </row>
    <row r="335" spans="1:25" s="8" customFormat="1" x14ac:dyDescent="0.25">
      <c r="A335"/>
      <c r="B335" s="45"/>
      <c r="C335" s="46"/>
      <c r="E335" s="7"/>
      <c r="F335" s="6"/>
      <c r="K335" s="25"/>
      <c r="Q335"/>
      <c r="R335"/>
      <c r="S335"/>
      <c r="T335"/>
      <c r="U335"/>
      <c r="V335"/>
      <c r="W335"/>
      <c r="X335"/>
      <c r="Y335"/>
    </row>
    <row r="336" spans="1:25" s="8" customFormat="1" x14ac:dyDescent="0.25">
      <c r="A336"/>
      <c r="C336" s="6"/>
      <c r="E336" s="7"/>
      <c r="F336" s="6"/>
      <c r="K336" s="25"/>
      <c r="Q336"/>
      <c r="R336"/>
      <c r="S336"/>
      <c r="T336"/>
      <c r="U336"/>
      <c r="V336"/>
      <c r="W336"/>
      <c r="X336"/>
      <c r="Y336"/>
    </row>
    <row r="337" spans="1:25" s="8" customFormat="1" x14ac:dyDescent="0.25">
      <c r="A337"/>
      <c r="B337" s="6"/>
      <c r="C337" s="6"/>
      <c r="E337" s="7"/>
      <c r="F337" s="6"/>
      <c r="K337" s="25"/>
      <c r="Q337"/>
      <c r="R337"/>
      <c r="S337"/>
      <c r="T337"/>
      <c r="U337"/>
      <c r="V337"/>
      <c r="W337"/>
      <c r="X337"/>
      <c r="Y337"/>
    </row>
    <row r="338" spans="1:25" s="8" customFormat="1" x14ac:dyDescent="0.25">
      <c r="C338" s="6"/>
      <c r="D338" s="6"/>
      <c r="E338" s="6"/>
      <c r="F338" s="6"/>
      <c r="K338" s="25"/>
      <c r="Q338"/>
      <c r="R338"/>
      <c r="S338"/>
      <c r="T338"/>
      <c r="U338"/>
      <c r="V338"/>
      <c r="W338"/>
      <c r="X338"/>
      <c r="Y338"/>
    </row>
    <row r="339" spans="1:25" s="8" customFormat="1" x14ac:dyDescent="0.25">
      <c r="C339" s="6"/>
      <c r="D339" s="6"/>
      <c r="E339" s="6"/>
      <c r="F339" s="6"/>
      <c r="K339" s="25"/>
      <c r="Q339"/>
      <c r="R339"/>
      <c r="S339"/>
      <c r="T339"/>
      <c r="U339"/>
      <c r="V339"/>
      <c r="W339"/>
      <c r="X339"/>
      <c r="Y339"/>
    </row>
    <row r="340" spans="1:25" s="8" customFormat="1" x14ac:dyDescent="0.25">
      <c r="C340" s="6"/>
      <c r="D340" s="6"/>
      <c r="E340" s="6"/>
      <c r="F340" s="6"/>
      <c r="K340" s="25"/>
      <c r="Q340"/>
      <c r="R340"/>
      <c r="S340"/>
      <c r="T340"/>
      <c r="U340"/>
      <c r="V340"/>
      <c r="W340"/>
      <c r="X340"/>
      <c r="Y340"/>
    </row>
    <row r="341" spans="1:25" s="8" customFormat="1" ht="12.75" x14ac:dyDescent="0.2">
      <c r="C341" s="6"/>
      <c r="D341" s="6"/>
      <c r="E341" s="6"/>
      <c r="F341" s="6"/>
      <c r="G341" s="6"/>
      <c r="I341" s="25"/>
      <c r="J341" s="25"/>
      <c r="K341" s="25"/>
      <c r="L341" s="25"/>
      <c r="M341" s="25"/>
      <c r="N341" s="25"/>
    </row>
    <row r="342" spans="1:25" s="8" customFormat="1" x14ac:dyDescent="0.25">
      <c r="C342" s="6"/>
      <c r="D342" s="6"/>
      <c r="E342" s="6"/>
      <c r="F342" s="6"/>
      <c r="K342" s="25"/>
      <c r="Q342"/>
      <c r="R342"/>
      <c r="S342"/>
      <c r="T342"/>
      <c r="U342"/>
      <c r="V342"/>
      <c r="W342"/>
      <c r="X342"/>
      <c r="Y342"/>
    </row>
    <row r="343" spans="1:25" s="8" customFormat="1" x14ac:dyDescent="0.25">
      <c r="C343" s="6"/>
      <c r="D343" s="6"/>
      <c r="E343" s="6"/>
      <c r="F343" s="6"/>
      <c r="K343" s="25"/>
      <c r="Q343"/>
      <c r="R343"/>
      <c r="S343"/>
      <c r="T343"/>
      <c r="U343"/>
      <c r="V343"/>
      <c r="W343"/>
      <c r="X343"/>
      <c r="Y343"/>
    </row>
  </sheetData>
  <protectedRanges>
    <protectedRange sqref="F65 F72 F77 D82:D83 D244 D65:D72 D74:D80" name="Диапазон3_4_1_1"/>
    <protectedRange sqref="E65 E72 E77 C82:C83 C244 C65:C72 C74:C80" name="Диапазон3_4_1_2"/>
    <protectedRange sqref="F45 D45" name="Диапазон3_5_1"/>
    <protectedRange sqref="F60 F63" name="Диапазон3_4_1_1_1"/>
    <protectedRange sqref="E60 E63" name="Диапазон3_4_1_2_1"/>
    <protectedRange sqref="F66" name="Диапазон3_4_1_1_2"/>
    <protectedRange sqref="E66" name="Диапазон3_4_1_2_2"/>
    <protectedRange sqref="E67:F69" name="Диапазон3_4_1_1_3"/>
    <protectedRange sqref="F70:F71" name="Диапазон3_4_4_2"/>
    <protectedRange sqref="E70:E71" name="Диапазон3_4_4_1_1_1"/>
    <protectedRange sqref="F73 D73" name="Диапазон3_4_4_3"/>
    <protectedRange sqref="E73 C73" name="Диапазон3_4_4_1_2"/>
    <protectedRange sqref="F74" name="Диапазон3_4_4_4"/>
    <protectedRange sqref="E74" name="Диапазон3_4_4_1_3"/>
    <protectedRange sqref="F75" name="Диапазон3_4_4_5"/>
    <protectedRange sqref="E75" name="Диапазон3_4_4_1_4"/>
    <protectedRange sqref="F78" name="Диапазон3_4_4_10"/>
    <protectedRange sqref="E78" name="Диапазон3_4_4_1_4_1"/>
    <protectedRange sqref="F175" name="Диапазон4_11"/>
    <protectedRange sqref="F169" name="Диапазон4_11_4"/>
    <protectedRange sqref="F180:F181" name="Диапазон4_11_1"/>
    <protectedRange sqref="F264" name="Диапазон6_9_1_4"/>
    <protectedRange sqref="F265" name="Диапазон6_9_1_4_2"/>
    <protectedRange sqref="F274" name="Диапазон6_9_1_2"/>
    <protectedRange sqref="F284:F285" name="Диапазон6_6_9"/>
    <protectedRange sqref="F286:F288" name="Диапазон6_6_9_1"/>
    <protectedRange sqref="E279:F280" name="Диапазон6_9_1_1_1_1"/>
    <protectedRange sqref="F276:F277" name="Диапазон6_6_9_1_1_1"/>
    <protectedRange sqref="F203" name="Диапазон4_11_4_1"/>
    <protectedRange sqref="E90 E92" name="Диапазон3_4_4_1_1_2"/>
  </protectedRanges>
  <autoFilter ref="B5:P293" xr:uid="{00000000-0001-0000-0800-000000000000}"/>
  <mergeCells count="19">
    <mergeCell ref="B305:C305"/>
    <mergeCell ref="B307:C307"/>
    <mergeCell ref="B309:C309"/>
    <mergeCell ref="K3:K4"/>
    <mergeCell ref="L3:L4"/>
    <mergeCell ref="M3:M4"/>
    <mergeCell ref="N3:N4"/>
    <mergeCell ref="O3:O4"/>
    <mergeCell ref="P3:P4"/>
    <mergeCell ref="N2:P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41 F76 F79 F80" xr:uid="{E1F2EB5A-4471-4C36-83AE-1F4D73BAD211}"/>
    <dataValidation allowBlank="1" showInputMessage="1" showErrorMessage="1" prompt="Введите краткую хар-ку на гос.языке" sqref="E38 E45 C45 E76 E79 E80 E33:E35 E240" xr:uid="{3D04ADA4-BA8C-4898-AF36-DED42F9DA0F4}"/>
  </dataValidations>
  <printOptions horizontalCentered="1"/>
  <pageMargins left="0.19685039370078741" right="0" top="0.35433070866141736" bottom="0.35433070866141736" header="0.19685039370078741" footer="0.19685039370078741"/>
  <pageSetup paperSize="9" scale="3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Кульмагамбетова Ботагуз Тыныштыковна</cp:lastModifiedBy>
  <dcterms:created xsi:type="dcterms:W3CDTF">2025-12-01T10:18:18Z</dcterms:created>
  <dcterms:modified xsi:type="dcterms:W3CDTF">2025-12-01T10:28:10Z</dcterms:modified>
</cp:coreProperties>
</file>