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lmagambetova.b\AppData\Local\Microsoft\Windows\INetCache\Content.Outlook\GPA9AYJS\"/>
    </mc:Choice>
  </mc:AlternateContent>
  <xr:revisionPtr revIDLastSave="0" documentId="13_ncr:1_{E403DB41-4FF5-496A-A34B-D0E376CCA902}" xr6:coauthVersionLast="47" xr6:coauthVersionMax="47" xr10:uidLastSave="{00000000-0000-0000-0000-000000000000}"/>
  <bookViews>
    <workbookView xWindow="-120" yWindow="-120" windowWidth="29040" windowHeight="15720" xr2:uid="{7AF44DBE-DE6B-472E-A5B7-5C96A6B2BE98}"/>
  </bookViews>
  <sheets>
    <sheet name="План закупок ТР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wes940">#REF!</definedName>
    <definedName name="_05_Запрос_ценовых_предложений_посредством_электронных_закупок">'[1]БНПЗ (1)'!#REF!</definedName>
    <definedName name="_889_Катушка_условная">'[1]БНПЗ (1)'!#REF!</definedName>
    <definedName name="_cle1" hidden="1">#REF!</definedName>
    <definedName name="_Fill" hidden="1">#REF!</definedName>
    <definedName name="_Key1" hidden="1">#REF!</definedName>
    <definedName name="_kv1">[2]виза!$D$7</definedName>
    <definedName name="_kv2">[2]виза!$E$7</definedName>
    <definedName name="_kv3">[2]виза!$F$7</definedName>
    <definedName name="_№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wes940">#REF!</definedName>
    <definedName name="_доллСША">'[3]Параметры 1'!$B$3</definedName>
    <definedName name="_xlnm._FilterDatabase" localSheetId="0" hidden="1">'План закупок ТРУ'!$B$5:$P$320</definedName>
    <definedName name="_xlnm._FilterDatabase" hidden="1">#REF!</definedName>
    <definedName name="aaa" hidden="1">{#N/A,#N/A,TRUE,"financial";#N/A,#N/A,TRUE,"plants"}</definedName>
    <definedName name="ABRACADABRA" hidden="1">#REF!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el" hidden="1">#REF!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{#N/A,#N/A,TRUE,"financial";#N/A,#N/A,TRUE,"plants"}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b" hidden="1">{#N/A,#N/A,FALSE,"Operations";#N/A,#N/A,FALSE,"Financials"}</definedName>
    <definedName name="Database">#REF!</definedName>
    <definedName name="dfd" hidden="1">{"comp1",#N/A,FALSE,"COMPS";"footnotes",#N/A,FALSE,"COMPS"}</definedName>
    <definedName name="DFG" hidden="1">{#N/A,#N/A,FALSE,"Лист15"}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JRTJHR" hidden="1">{#N/A,#N/A,FALSE,"Лист15"}</definedName>
    <definedName name="DJYJDRTJRTJY" hidden="1">{#N/A,#N/A,FALSE,"Лист15"}</definedName>
    <definedName name="dsg" hidden="1">{#N/A,#N/A,FALSE,"Calc";#N/A,#N/A,FALSE,"Sensitivity";#N/A,#N/A,FALSE,"LT Earn.Dil.";#N/A,#N/A,FALSE,"Dil. AVP"}</definedName>
    <definedName name="DTYJDJDRTJ" hidden="1">{#N/A,#N/A,FALSE,"Лист15"}</definedName>
    <definedName name="e" hidden="1">{"casespecific",#N/A,FALSE,"Assumptions"}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n">'[4]ремонт 25'!$B$10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FGH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FXHXFGH" hidden="1">{#N/A,#N/A,FALSE,"Лист15"}</definedName>
    <definedName name="g" hidden="1">{#N/A,#N/A,FALSE,"Лист15"}</definedName>
    <definedName name="ggf" hidden="1">{"comps",#N/A,FALSE,"comps";"notes",#N/A,FALSE,"comps"}</definedName>
    <definedName name="GHDJERJST" hidden="1">{#N/A,#N/A,FALSE,"Лист15"}</definedName>
    <definedName name="GR_CODE_ROW">4583</definedName>
    <definedName name="GR_CODE_SHEET">4</definedName>
    <definedName name="hh" hidden="1">{#N/A,#N/A,FALSE,"Eastern";#N/A,#N/A,FALSE,"Western"}</definedName>
    <definedName name="hhhsdf" hidden="1">{"up stand alones",#N/A,FALSE,"Acquiror"}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hyg" hidden="1">{#N/A,#N/A,FALSE,"Eastern";#N/A,#N/A,FALSE,"Western"}</definedName>
    <definedName name="I">#REF!</definedName>
    <definedName name="II">'[5]исп.см.'!#REF!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>#REF!</definedName>
    <definedName name="JDTYKDTY" hidden="1">{#N/A,#N/A,FALSE,"Лист15"}</definedName>
    <definedName name="jeanne" hidden="1">{#N/A,#N/A,FALSE,"Eastern";#N/A,#N/A,FALSE,"Western"}</definedName>
    <definedName name="jj" hidden="1">{#N/A,#N/A,FALSE,"Eastern";#N/A,#N/A,FALSE,"Western"}</definedName>
    <definedName name="jk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ol" hidden="1">{"away stand alones",#N/A,FALSE,"Target"}</definedName>
    <definedName name="kom" hidden="1">#REF!</definedName>
    <definedName name="KYDTJDRYJ" hidden="1">{#N/A,#N/A,FALSE,"Лист15"}</definedName>
    <definedName name="limcount" hidden="1">2</definedName>
    <definedName name="lklkl" hidden="1">{"consolidated",#N/A,FALSE,"Sheet1";"cms",#N/A,FALSE,"Sheet1";"fse",#N/A,FALSE,"Sheet1"}</definedName>
    <definedName name="med">'[6]Таб 1 к Прил 10 з-плата1'!$AR$12</definedName>
    <definedName name="mmmmm" hidden="1">{#N/A,#N/A,FALSE,"Calc";#N/A,#N/A,FALSE,"Sensitivity";#N/A,#N/A,FALSE,"LT Earn.Dil.";#N/A,#N/A,FALSE,"Dil. AVP"}</definedName>
    <definedName name="MUDJJYSJ" hidden="1">{#N/A,#N/A,FALSE,"Лист15"}</definedName>
    <definedName name="njk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fit_Loss">#REF!</definedName>
    <definedName name="prout" hidden="1">{"comp1",#N/A,FALSE,"COMPS";"footnotes",#N/A,FALSE,"COMPS"}</definedName>
    <definedName name="q" hidden="1">{#N/A,#N/A,FALSE,"Calc";#N/A,#N/A,FALSE,"Sensitivity";#N/A,#N/A,FALSE,"LT Earn.Dil.";#N/A,#N/A,FALSE,"Dil. AVP"}</definedName>
    <definedName name="qeazr" hidden="1">{#N/A,#N/A,FALSE,"Eastern";#N/A,#N/A,FALSE,"Western"}</definedName>
    <definedName name="qq" hidden="1">{#N/A,#N/A,FALSE,"CBE";#N/A,#N/A,FALSE,"SWK"}</definedName>
    <definedName name="QUOTE_1669_OTF_DoNotDeleteThisName_1" hidden="1">#REF!</definedName>
    <definedName name="RKJ" hidden="1">{#N/A,#N/A,FALSE,"Лист15"}</definedName>
    <definedName name="rtt" hidden="1">{#N/A,#N/A,TRUE,"Лист1";#N/A,#N/A,TRUE,"Лист2";#N/A,#N/A,TRUE,"Лист3"}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e" hidden="1">{"consolidated",#N/A,FALSE,"Sheet1";"cms",#N/A,FALSE,"Sheet1";"fse",#N/A,FALSE,"Sheet1"}</definedName>
    <definedName name="sencount" hidden="1">2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qbiifuncbdg_BDGNAME" hidden="1">[7]XLR_NoRangeSheet!$B$7</definedName>
    <definedName name="sqdepartments_NAME_DEPARTMENT" hidden="1">[8]XLR_NoRangeSheet!$B$7</definedName>
    <definedName name="sqfuncbdg_BDGNAME" hidden="1">[9]XLR_NoRangeSheet!$B$8</definedName>
    <definedName name="sqparameters_NAME_BUDG" hidden="1">[10]XLR_NoRangeSheet!$B$7</definedName>
    <definedName name="sqparameters_REPDATE" hidden="1">[10]XLR_NoRangeSheet!$C$7</definedName>
    <definedName name="sqparametres_NAME_BUDG" hidden="1">[8]XLR_NoRangeSheet!$B$8</definedName>
    <definedName name="sqparametres_REPDATE" hidden="1">[8]XLR_NoRangeSheet!$C$8</definedName>
    <definedName name="ssss" hidden="1">{"casespecific",#N/A,FALSE,"Assumptions"}</definedName>
    <definedName name="telop" hidden="1">{#N/A,#N/A,FALSE,"Eastern";#N/A,#N/A,FALSE,"Western"}</definedName>
    <definedName name="TextRefCopyRangeCount" hidden="1">92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KUDFKDT" hidden="1">{#N/A,#N/A,FALSE,"Лист15"}</definedName>
    <definedName name="USDKZT">#REF!</definedName>
    <definedName name="vbn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izard" hidden="1">{#N/A,#N/A,FALSE,"Лист15"}</definedName>
    <definedName name="wizard_1" hidden="1">{#N/A,#N/A,FALSE,"Лист15"}</definedName>
    <definedName name="wizard_2" hidden="1">{#N/A,#N/A,FALSE,"Лист15"}</definedName>
    <definedName name="wizard_3" hidden="1">{#N/A,#N/A,FALSE,"Лист15"}</definedName>
    <definedName name="Wizard_4" hidden="1">{#N/A,#N/A,FALSE,"Лист15"}</definedName>
    <definedName name="wizard_5" hidden="1">{#N/A,#N/A,FALSE,"Лист15"}</definedName>
    <definedName name="Wizard_6" hidden="1">{#N/A,#N/A,FALSE,"Лист15"}</definedName>
    <definedName name="Wizard_7" hidden="1">{#N/A,#N/A,FALSE,"Лист15"}</definedName>
    <definedName name="wizard_8" hidden="1">{#N/A,#N/A,FALSE,"Лист15"}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FZHERH" hidden="1">{#N/A,#N/A,FALSE,"Лист15"}</definedName>
    <definedName name="XLRPARAMS_p_date" hidden="1">[7]XLR_NoRangeSheet!$G$6</definedName>
    <definedName name="XLRPARAMS_p_id_budgetstage" hidden="1">[10]XLR_NoRangeSheet!$B$6</definedName>
    <definedName name="XLRPARAMS_p_id_doc" hidden="1">[7]XLR_NoRangeSheet!$C$6</definedName>
    <definedName name="XLRPARAMS_p_id_fb" hidden="1">[7]XLR_NoRangeSheet!$F$6</definedName>
    <definedName name="XLRPARAMS_p_show_cfa" hidden="1">[11]XLR_NoRangeSheet!$K$6</definedName>
    <definedName name="XRefCopyRangeCount" hidden="1">1</definedName>
    <definedName name="xxxxx" hidden="1">{#N/A,#N/A,FALSE,"Calc";#N/A,#N/A,FALSE,"Sensitivity";#N/A,#N/A,FALSE,"LT Earn.Dil.";#N/A,#N/A,FALSE,"Dil. AVP"}</definedName>
    <definedName name="yjn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C37E65A7_9893_435E_9759_72E0D8A5DD87_.wvu.PrintTitles" hidden="1">#REF!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аа" hidden="1">{#N/A,#N/A,FALSE,"Лист15"}</definedName>
    <definedName name="ааа" hidden="1">{#N/A,#N/A,FALSE,"Лист15"}</definedName>
    <definedName name="аапапоор" hidden="1">#REF!</definedName>
    <definedName name="Администратор_бюджетных_программ">#REF!</definedName>
    <definedName name="Актау" hidden="1">{#N/A,#N/A,FALSE,"Лист15"}</definedName>
    <definedName name="аппп" hidden="1">{#N/A,#N/A,FALSE,"Лист15"}</definedName>
    <definedName name="апр" hidden="1">{#N/A,#N/A,FALSE,"Лист15"}</definedName>
    <definedName name="апрель25">#REF!</definedName>
    <definedName name="ара" hidden="1">{#N/A,#N/A,FALSE,"Лист15"}</definedName>
    <definedName name="Асима" hidden="1">{#N/A,#N/A,FALSE,"Лист15"}</definedName>
    <definedName name="Атырау" hidden="1">{#N/A,#N/A,FALSE,"Лист15"}</definedName>
    <definedName name="_xlnm.Database">#REF!</definedName>
    <definedName name="блл" hidden="1">{#N/A,#N/A,FALSE,"Лист15"}</definedName>
    <definedName name="БНПЗ1" hidden="1">#REF!</definedName>
    <definedName name="бра" hidden="1">{#N/A,#N/A,FALSE,"Лист15"}</definedName>
    <definedName name="бьт" hidden="1">{#N/A,#N/A,FALSE,"Лист15"}</definedName>
    <definedName name="бю" hidden="1">{#N/A,#N/A,FALSE,"Лист15"}</definedName>
    <definedName name="в10">#REF!</definedName>
    <definedName name="вап" hidden="1">{#N/A,#N/A,FALSE,"Лист15"}</definedName>
    <definedName name="ведспец">'[12]Таб 1 к Прил 10 з-плата1'!$G$15</definedName>
    <definedName name="все" hidden="1">{#N/A,#N/A,FALSE,"Лист15"}</definedName>
    <definedName name="Все.1.3" hidden="1">{#N/A,#N/A,FALSE,"Лист15"}</definedName>
    <definedName name="всем" hidden="1">{#N/A,#N/A,FALSE,"Лист15"}</definedName>
    <definedName name="вуув" hidden="1">{#N/A,#N/A,TRUE,"Лист1";#N/A,#N/A,TRUE,"Лист2";#N/A,#N/A,TRUE,"Лист3"}</definedName>
    <definedName name="г" hidden="1">{#N/A,#N/A,FALSE,"Лист15"}</definedName>
    <definedName name="глспец">'[6]Таб 1 к Прил 10 з-плата1'!$G$12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'[13]ремонт 25'!$B$10</definedName>
    <definedName name="движение" hidden="1">{#N/A,#N/A,FALSE,"Лист15"}</definedName>
    <definedName name="длор" hidden="1">{#N/A,#N/A,FALSE,"Лист15"}</definedName>
    <definedName name="долл">'[6]Таб 4 к Прил 1 Свифт'!$F$38</definedName>
    <definedName name="евро">'[6]Таб 4 к Прил 1 Свифт'!$F$39</definedName>
    <definedName name="еже" hidden="1">{#N/A,#N/A,FALSE,"Лист15"}</definedName>
    <definedName name="ж" hidden="1">{#N/A,#N/A,FALSE,"Лист15"}</definedName>
    <definedName name="зар" hidden="1">{#N/A,#N/A,FALSE,"Лист15"}</definedName>
    <definedName name="измен" hidden="1">{#N/A,#N/A,FALSE,"Лист15"}</definedName>
    <definedName name="индцкавг98" hidden="1">{#N/A,#N/A,TRUE,"Лист1";#N/A,#N/A,TRUE,"Лист2";#N/A,#N/A,TRUE,"Лист3"}</definedName>
    <definedName name="инфляция">'[14]Параметры 1'!$B$2</definedName>
    <definedName name="Исполнение" hidden="1">{#N/A,#N/A,FALSE,"Лист15"}</definedName>
    <definedName name="йц" hidden="1">{#N/A,#N/A,FALSE,"Лист15"}</definedName>
    <definedName name="к" hidden="1">{#N/A,#N/A,FALSE,"Лист15"}</definedName>
    <definedName name="кал" hidden="1">{#N/A,#N/A,FALSE,"Лист15"}</definedName>
    <definedName name="калиева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АТО">#REF!</definedName>
    <definedName name="КАТО1">[15]КАТО!$A$2:$A$17367</definedName>
    <definedName name="кв" hidden="1">{#N/A,#N/A,FALSE,"Лист15"}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" hidden="1">{#N/A,#N/A,FALSE,"Лист15"}</definedName>
    <definedName name="КЛМ" hidden="1">{#N/A,#N/A,FALSE,"Лист15"}</definedName>
    <definedName name="Код">#REF!</definedName>
    <definedName name="комм.усл." hidden="1">{#N/A,#N/A,FALSE,"Лист15"}</definedName>
    <definedName name="КПВЭД">#REF!</definedName>
    <definedName name="куа" hidden="1">{#N/A,#N/A,FALSE,"Лист15"}</definedName>
    <definedName name="лор" hidden="1">{#N/A,#N/A,FALSE,"Лист15"}</definedName>
    <definedName name="март2025">#REF!</definedName>
    <definedName name="март25">#REF!</definedName>
    <definedName name="мат" hidden="1">{#N/A,#N/A,FALSE,"Лист15"}</definedName>
    <definedName name="материал" hidden="1">{#N/A,#N/A,FALSE,"Лист15"}</definedName>
    <definedName name="материалы" hidden="1">{#N/A,#N/A,FALSE,"Лист15"}</definedName>
    <definedName name="МЗП">'[6]Таб 1 к Прил 10 з-плата1'!$C$235</definedName>
    <definedName name="ммммм" hidden="1">{#N/A,#N/A,FALSE,"Лист15"}</definedName>
    <definedName name="МРП">'[14]Параметры 1'!$B$6</definedName>
    <definedName name="МЯАВС" hidden="1">{#N/A,#N/A,FALSE,"Лист15"}</definedName>
    <definedName name="налог" hidden="1">{#N/A,#N/A,FALSE,"Лист15"}</definedName>
    <definedName name="нг" hidden="1">{#N/A,#N/A,FALSE,"Лист15"}</definedName>
    <definedName name="ндс">'[14]Параметры 1'!$B$8</definedName>
    <definedName name="нерезид">'[14]Параметры 1'!$B$9</definedName>
    <definedName name="нет" hidden="1">{#N/A,#N/A,FALSE,"Лист15"}</definedName>
    <definedName name="новое" hidden="1">{#N/A,#N/A,FALSE,"Лист15"}</definedName>
    <definedName name="Область_печати_ИМ">#REF!</definedName>
    <definedName name="Обоснование">OFFSET([16]ОПГЗ!$A$1,MATCH('[16]План ГЗ'!$P1,[16]ОПГЗ!$A$1:$A$65536,0)-1,1,COUNTIF([16]ОПГЗ!$A$1:$A$65536,'[16]План ГЗ'!$P1),1)</definedName>
    <definedName name="окт" hidden="1">{#N/A,#N/A,FALSE,"Лист15"}</definedName>
    <definedName name="ол" hidden="1">{#N/A,#N/A,FALSE,"Лист15"}</definedName>
    <definedName name="ПНЕК" hidden="1">{#N/A,#N/A,FALSE,"Лист15"}</definedName>
    <definedName name="пор" hidden="1">{#N/A,#N/A,FALSE,"Лист15"}</definedName>
    <definedName name="предложение" hidden="1">{#N/A,#N/A,FALSE,"Лист15"}</definedName>
    <definedName name="при" hidden="1">{#N/A,#N/A,FALSE,"Лист15"}</definedName>
    <definedName name="прибыль3" hidden="1">{#N/A,#N/A,TRUE,"Лист1";#N/A,#N/A,TRUE,"Лист2";#N/A,#N/A,TRUE,"Лист3"}</definedName>
    <definedName name="прил" hidden="1">{#N/A,#N/A,FALSE,"Лист15"}</definedName>
    <definedName name="Прил14" hidden="1">{#N/A,#N/A,FALSE,"Лист15"}</definedName>
    <definedName name="Прил30." hidden="1">{#N/A,#N/A,FALSE,"Лист15"}</definedName>
    <definedName name="прил37" hidden="1">{#N/A,#N/A,FALSE,"Лист15"}</definedName>
    <definedName name="прил№5" hidden="1">{#N/A,#N/A,FALSE,"Лист15"}</definedName>
    <definedName name="пример" hidden="1">#REF!</definedName>
    <definedName name="про">#REF!</definedName>
    <definedName name="программ" hidden="1">{#N/A,#N/A,FALSE,"Лист15"}</definedName>
    <definedName name="пролграаммм" hidden="1">{#N/A,#N/A,FALSE,"Лист15"}</definedName>
    <definedName name="Работа">#REF!</definedName>
    <definedName name="рис1" hidden="1">{#N/A,#N/A,TRUE,"Лист1";#N/A,#N/A,TRUE,"Лист2";#N/A,#N/A,TRUE,"Лист3"}</definedName>
    <definedName name="рп" hidden="1">{#N/A,#N/A,FALSE,"Лист15"}</definedName>
    <definedName name="рпп" hidden="1">#REF!</definedName>
    <definedName name="рубль">'[14]Параметры 1'!$B$5</definedName>
    <definedName name="сверка">#REF!</definedName>
    <definedName name="свернутое" hidden="1">{#N/A,#N/A,FALSE,"Лист15"}</definedName>
    <definedName name="смит" hidden="1">{#N/A,#N/A,FALSE,"Лист15"}</definedName>
    <definedName name="сод.зд." hidden="1">{#N/A,#N/A,FALSE,"Лист15"}</definedName>
    <definedName name="сопрнб" hidden="1">{#N/A,#N/A,FALSE,"Лист15"}</definedName>
    <definedName name="Специфика">#REF!</definedName>
    <definedName name="спецификация" hidden="1">{#N/A,#N/A,FALSE,"Лист15"}</definedName>
    <definedName name="спос">'[17]Способ закупки'!$A$1:$A$14</definedName>
    <definedName name="Способ">'[1]Способ закупки'!$A$1:$A$14</definedName>
    <definedName name="сраыв" hidden="1">{#N/A,#N/A,FALSE,"Лист15"}</definedName>
    <definedName name="старшспец">'[12]Таб 1 к Прил 10 з-плата1'!$G$18</definedName>
    <definedName name="Таблица33">#REF!</definedName>
    <definedName name="тариф" hidden="1">{#N/A,#N/A,FALSE,"Лист15"}</definedName>
    <definedName name="техобсл" hidden="1">{#N/A,#N/A,FALSE,"Лист15"}</definedName>
    <definedName name="Товар">#REF!</definedName>
    <definedName name="тп" hidden="1">{#N/A,#N/A,TRUE,"Лист1";#N/A,#N/A,TRUE,"Лист2";#N/A,#N/A,TRUE,"Лист3"}</definedName>
    <definedName name="тппп" hidden="1">{#N/A,#N/A,FALSE,"Лист15"}</definedName>
    <definedName name="увеличение" hidden="1">{#N/A,#N/A,FALSE,"Лист15"}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равление" hidden="1">{#N/A,#N/A,FALSE,"Лист15"}</definedName>
    <definedName name="ура" hidden="1">{#N/A,#N/A,FALSE,"Лист15"}</definedName>
    <definedName name="Услуга">#REF!</definedName>
    <definedName name="уставн" hidden="1">{#N/A,#N/A,FALSE,"Лист15"}</definedName>
    <definedName name="фев25">[18]Лист3!$A$1:$C$110</definedName>
    <definedName name="финплан06" hidden="1">{#N/A,#N/A,FALSE,"Лист15"}</definedName>
    <definedName name="фйц" hidden="1">{#N/A,#N/A,FALSE,"Лист15"}</definedName>
    <definedName name="фф" hidden="1">{#N/A,#N/A,FALSE,"Лист15"}</definedName>
    <definedName name="фыа" hidden="1">{#N/A,#N/A,FALSE,"Лист15"}</definedName>
    <definedName name="фь" hidden="1">{#N/A,#N/A,FALSE,"Лист15"}</definedName>
    <definedName name="ца" hidden="1">{#N/A,#N/A,FALSE,"Aging Summary";#N/A,#N/A,FALSE,"Ratio Analysis";#N/A,#N/A,FALSE,"Test 120 Day Accts";#N/A,#N/A,FALSE,"Tickmarks"}</definedName>
    <definedName name="ценовка">'[19]Способ закупки'!$A$1:$A$14</definedName>
    <definedName name="цй" hidden="1">{#N/A,#N/A,FALSE,"Лист15"}</definedName>
    <definedName name="ЦО" hidden="1">{#N/A,#N/A,FALSE,"Лист15"}</definedName>
    <definedName name="черновой" hidden="1">{#N/A,#N/A,FALSE,"Лист15"}</definedName>
    <definedName name="ШТАТКА" hidden="1">{#N/A,#N/A,FALSE,"Лист15"}</definedName>
    <definedName name="щ" hidden="1">{#N/A,#N/A,FALSE,"Лист15"}</definedName>
    <definedName name="ыва" hidden="1">{#N/A,#N/A,TRUE,"Лист1";#N/A,#N/A,TRUE,"Лист2";#N/A,#N/A,TRUE,"Лист3"}</definedName>
    <definedName name="ывф" hidden="1">#REF!</definedName>
    <definedName name="ыуаы" hidden="1">{#N/A,#N/A,TRUE,"Лист1";#N/A,#N/A,TRUE,"Лист2";#N/A,#N/A,TRUE,"Лист3"}</definedName>
    <definedName name="ььттл" hidden="1">{#N/A,#N/A,FALSE,"Лист15"}</definedName>
    <definedName name="янв2025">[18]Лист2!$A$1:$C$107</definedName>
    <definedName name="янв25">[20]Январь2025!$A$1:$C$107</definedName>
    <definedName name="январь25">[21]янв!$A$1:$C$17</definedName>
    <definedName name="ячс" hidden="1">{#N/A,#N/A,FALSE,"Лист15"}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5" i="1" l="1"/>
  <c r="K314" i="1"/>
  <c r="K313" i="1"/>
  <c r="K312" i="1"/>
  <c r="J312" i="1"/>
  <c r="J311" i="1"/>
  <c r="K311" i="1" s="1"/>
  <c r="K310" i="1"/>
  <c r="J310" i="1"/>
  <c r="J309" i="1"/>
  <c r="K309" i="1" s="1"/>
  <c r="K308" i="1"/>
  <c r="J308" i="1"/>
  <c r="J307" i="1"/>
  <c r="K307" i="1" s="1"/>
  <c r="K306" i="1"/>
  <c r="K305" i="1"/>
  <c r="K304" i="1"/>
  <c r="K303" i="1"/>
  <c r="J303" i="1"/>
  <c r="J302" i="1"/>
  <c r="K302" i="1" s="1"/>
  <c r="K301" i="1"/>
  <c r="K300" i="1"/>
  <c r="J300" i="1"/>
  <c r="K299" i="1"/>
  <c r="J298" i="1"/>
  <c r="K298" i="1" s="1"/>
  <c r="K297" i="1"/>
  <c r="K296" i="1"/>
  <c r="K295" i="1"/>
  <c r="K294" i="1"/>
  <c r="K293" i="1"/>
  <c r="K292" i="1"/>
  <c r="K291" i="1"/>
  <c r="J290" i="1"/>
  <c r="K290" i="1" s="1"/>
  <c r="K289" i="1"/>
  <c r="J288" i="1"/>
  <c r="K288" i="1" s="1"/>
  <c r="J287" i="1"/>
  <c r="K287" i="1" s="1"/>
  <c r="J286" i="1"/>
  <c r="K286" i="1" s="1"/>
  <c r="K285" i="1"/>
  <c r="K284" i="1"/>
  <c r="K282" i="1"/>
  <c r="K281" i="1"/>
  <c r="K280" i="1"/>
  <c r="K279" i="1"/>
  <c r="K278" i="1"/>
  <c r="K277" i="1"/>
  <c r="I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J255" i="1"/>
  <c r="K255" i="1" s="1"/>
  <c r="K254" i="1"/>
  <c r="K253" i="1"/>
  <c r="K252" i="1"/>
  <c r="K251" i="1"/>
  <c r="K250" i="1"/>
  <c r="J249" i="1"/>
  <c r="K249" i="1" s="1"/>
  <c r="K248" i="1"/>
  <c r="K247" i="1"/>
  <c r="K246" i="1"/>
  <c r="J245" i="1"/>
  <c r="K245" i="1" s="1"/>
  <c r="J244" i="1"/>
  <c r="K244" i="1" s="1"/>
  <c r="J243" i="1"/>
  <c r="K243" i="1" s="1"/>
  <c r="J242" i="1"/>
  <c r="K242" i="1" s="1"/>
  <c r="K241" i="1"/>
  <c r="K240" i="1"/>
  <c r="J240" i="1"/>
  <c r="K239" i="1"/>
  <c r="J239" i="1"/>
  <c r="K238" i="1"/>
  <c r="K237" i="1"/>
  <c r="J236" i="1"/>
  <c r="K236" i="1" s="1"/>
  <c r="K235" i="1"/>
  <c r="K234" i="1"/>
  <c r="J234" i="1"/>
  <c r="K233" i="1"/>
  <c r="J232" i="1"/>
  <c r="K232" i="1" s="1"/>
  <c r="J231" i="1"/>
  <c r="K231" i="1" s="1"/>
  <c r="K230" i="1"/>
  <c r="K229" i="1"/>
  <c r="K228" i="1"/>
  <c r="J228" i="1"/>
  <c r="K227" i="1"/>
  <c r="K226" i="1"/>
  <c r="J225" i="1"/>
  <c r="K225" i="1" s="1"/>
  <c r="J224" i="1"/>
  <c r="K224" i="1" s="1"/>
  <c r="J223" i="1"/>
  <c r="K223" i="1" s="1"/>
  <c r="J222" i="1"/>
  <c r="K222" i="1" s="1"/>
  <c r="K221" i="1"/>
  <c r="J220" i="1"/>
  <c r="K220" i="1" s="1"/>
  <c r="J219" i="1"/>
  <c r="K219" i="1" s="1"/>
  <c r="K218" i="1"/>
  <c r="K217" i="1"/>
  <c r="J216" i="1"/>
  <c r="K216" i="1" s="1"/>
  <c r="K215" i="1"/>
  <c r="K214" i="1"/>
  <c r="K213" i="1"/>
  <c r="K212" i="1"/>
  <c r="K211" i="1"/>
  <c r="J211" i="1"/>
  <c r="K210" i="1"/>
  <c r="K209" i="1"/>
  <c r="J208" i="1"/>
  <c r="K208" i="1" s="1"/>
  <c r="K206" i="1"/>
  <c r="K205" i="1"/>
  <c r="K204" i="1"/>
  <c r="J203" i="1"/>
  <c r="K203" i="1" s="1"/>
  <c r="K202" i="1"/>
  <c r="K201" i="1"/>
  <c r="J200" i="1"/>
  <c r="K200" i="1" s="1"/>
  <c r="K199" i="1"/>
  <c r="K198" i="1"/>
  <c r="K197" i="1"/>
  <c r="K196" i="1"/>
  <c r="K195" i="1"/>
  <c r="K194" i="1"/>
  <c r="J193" i="1"/>
  <c r="K193" i="1" s="1"/>
  <c r="J192" i="1"/>
  <c r="K192" i="1" s="1"/>
  <c r="K191" i="1"/>
  <c r="J191" i="1"/>
  <c r="J190" i="1"/>
  <c r="K190" i="1" s="1"/>
  <c r="J189" i="1"/>
  <c r="K189" i="1" s="1"/>
  <c r="J188" i="1"/>
  <c r="K188" i="1" s="1"/>
  <c r="K187" i="1"/>
  <c r="J187" i="1"/>
  <c r="K186" i="1"/>
  <c r="K185" i="1"/>
  <c r="K184" i="1"/>
  <c r="K183" i="1"/>
  <c r="K182" i="1"/>
  <c r="J181" i="1"/>
  <c r="K181" i="1" s="1"/>
  <c r="K180" i="1"/>
  <c r="J180" i="1"/>
  <c r="K179" i="1"/>
  <c r="K178" i="1"/>
  <c r="K177" i="1"/>
  <c r="J176" i="1"/>
  <c r="K176" i="1" s="1"/>
  <c r="J175" i="1"/>
  <c r="K175" i="1" s="1"/>
  <c r="K174" i="1"/>
  <c r="J174" i="1"/>
  <c r="J173" i="1"/>
  <c r="K173" i="1" s="1"/>
  <c r="J172" i="1"/>
  <c r="K172" i="1" s="1"/>
  <c r="J171" i="1"/>
  <c r="K171" i="1" s="1"/>
  <c r="J170" i="1"/>
  <c r="K170" i="1" s="1"/>
  <c r="K169" i="1"/>
  <c r="J168" i="1"/>
  <c r="K168" i="1" s="1"/>
  <c r="K167" i="1"/>
  <c r="J166" i="1"/>
  <c r="K166" i="1" s="1"/>
  <c r="J165" i="1"/>
  <c r="K165" i="1" s="1"/>
  <c r="J164" i="1"/>
  <c r="K164" i="1" s="1"/>
  <c r="K163" i="1"/>
  <c r="K162" i="1"/>
  <c r="J161" i="1"/>
  <c r="K161" i="1" s="1"/>
  <c r="J160" i="1"/>
  <c r="K160" i="1" s="1"/>
  <c r="J159" i="1"/>
  <c r="K159" i="1" s="1"/>
  <c r="J158" i="1"/>
  <c r="K158" i="1" s="1"/>
  <c r="J157" i="1"/>
  <c r="K157" i="1" s="1"/>
  <c r="K156" i="1"/>
  <c r="J155" i="1"/>
  <c r="K155" i="1" s="1"/>
  <c r="K154" i="1"/>
  <c r="K153" i="1"/>
  <c r="J152" i="1"/>
  <c r="K152" i="1" s="1"/>
  <c r="J151" i="1"/>
  <c r="K151" i="1" s="1"/>
  <c r="K150" i="1"/>
  <c r="K149" i="1"/>
  <c r="J148" i="1"/>
  <c r="K148" i="1" s="1"/>
  <c r="J146" i="1"/>
  <c r="K146" i="1" s="1"/>
  <c r="J145" i="1"/>
  <c r="K145" i="1" s="1"/>
  <c r="J144" i="1"/>
  <c r="K144" i="1" s="1"/>
  <c r="J143" i="1"/>
  <c r="K143" i="1" s="1"/>
  <c r="K142" i="1"/>
  <c r="K140" i="1"/>
  <c r="J140" i="1"/>
  <c r="J139" i="1"/>
  <c r="K139" i="1" s="1"/>
  <c r="K138" i="1"/>
  <c r="K137" i="1"/>
  <c r="J136" i="1"/>
  <c r="K136" i="1" s="1"/>
  <c r="K135" i="1"/>
  <c r="J134" i="1"/>
  <c r="K134" i="1" s="1"/>
  <c r="K133" i="1"/>
  <c r="K132" i="1"/>
  <c r="J131" i="1"/>
  <c r="K131" i="1" s="1"/>
  <c r="J130" i="1"/>
  <c r="K130" i="1" s="1"/>
  <c r="J129" i="1"/>
  <c r="K129" i="1" s="1"/>
  <c r="J128" i="1"/>
  <c r="K128" i="1" s="1"/>
  <c r="K127" i="1"/>
  <c r="J126" i="1"/>
  <c r="K126" i="1" s="1"/>
  <c r="J125" i="1"/>
  <c r="K125" i="1" s="1"/>
  <c r="J124" i="1"/>
  <c r="K124" i="1" s="1"/>
  <c r="J123" i="1"/>
  <c r="K123" i="1" s="1"/>
  <c r="J122" i="1"/>
  <c r="K122" i="1" s="1"/>
  <c r="K121" i="1"/>
  <c r="J121" i="1"/>
  <c r="J120" i="1"/>
  <c r="K120" i="1" s="1"/>
  <c r="K119" i="1"/>
  <c r="K118" i="1"/>
  <c r="K117" i="1"/>
  <c r="K116" i="1"/>
  <c r="K115" i="1"/>
  <c r="K111" i="1"/>
  <c r="K110" i="1"/>
  <c r="J109" i="1"/>
  <c r="K109" i="1" s="1"/>
  <c r="K108" i="1"/>
  <c r="K107" i="1"/>
  <c r="K106" i="1"/>
  <c r="K105" i="1"/>
  <c r="K104" i="1"/>
  <c r="K103" i="1"/>
  <c r="K102" i="1"/>
  <c r="K101" i="1"/>
  <c r="K100" i="1"/>
  <c r="K99" i="1"/>
  <c r="J98" i="1"/>
  <c r="K98" i="1" s="1"/>
  <c r="K97" i="1"/>
  <c r="K96" i="1"/>
  <c r="K95" i="1"/>
  <c r="K94" i="1"/>
  <c r="J93" i="1"/>
  <c r="K93" i="1" s="1"/>
  <c r="K92" i="1"/>
  <c r="K91" i="1"/>
  <c r="K90" i="1"/>
  <c r="K89" i="1"/>
  <c r="K88" i="1"/>
  <c r="K87" i="1"/>
  <c r="K83" i="1"/>
  <c r="K82" i="1"/>
  <c r="K81" i="1"/>
  <c r="K79" i="1"/>
  <c r="K78" i="1"/>
  <c r="K77" i="1"/>
  <c r="Q75" i="1"/>
  <c r="J74" i="1"/>
  <c r="K74" i="1" s="1"/>
  <c r="K73" i="1"/>
  <c r="K72" i="1"/>
  <c r="K71" i="1"/>
  <c r="J69" i="1"/>
  <c r="K69" i="1" s="1"/>
  <c r="J68" i="1"/>
  <c r="K68" i="1" s="1"/>
  <c r="K67" i="1"/>
  <c r="J67" i="1"/>
  <c r="K66" i="1"/>
  <c r="J65" i="1"/>
  <c r="K65" i="1" s="1"/>
  <c r="K64" i="1"/>
  <c r="K63" i="1"/>
  <c r="K62" i="1"/>
  <c r="K61" i="1"/>
  <c r="J60" i="1"/>
  <c r="K60" i="1" s="1"/>
  <c r="K59" i="1"/>
  <c r="K58" i="1"/>
  <c r="K57" i="1"/>
  <c r="K56" i="1"/>
  <c r="J55" i="1"/>
  <c r="K55" i="1" s="1"/>
  <c r="K54" i="1"/>
  <c r="K53" i="1"/>
  <c r="K52" i="1"/>
  <c r="K51" i="1"/>
  <c r="K50" i="1"/>
  <c r="K49" i="1"/>
  <c r="K48" i="1"/>
  <c r="J47" i="1"/>
  <c r="I47" i="1"/>
  <c r="K47" i="1" s="1"/>
  <c r="J46" i="1"/>
  <c r="K46" i="1" s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J20" i="1"/>
  <c r="K20" i="1" s="1"/>
  <c r="J19" i="1"/>
  <c r="K19" i="1" s="1"/>
  <c r="J18" i="1"/>
  <c r="K18" i="1" s="1"/>
  <c r="K17" i="1"/>
  <c r="J16" i="1"/>
  <c r="K16" i="1" s="1"/>
  <c r="K15" i="1"/>
  <c r="K14" i="1"/>
  <c r="J13" i="1"/>
  <c r="K13" i="1" s="1"/>
  <c r="J12" i="1"/>
  <c r="K12" i="1" s="1"/>
  <c r="K11" i="1"/>
  <c r="K10" i="1"/>
  <c r="K9" i="1"/>
  <c r="K8" i="1"/>
  <c r="J7" i="1"/>
  <c r="K7" i="1" s="1"/>
  <c r="I6" i="1"/>
  <c r="K6" i="1" s="1"/>
</calcChain>
</file>

<file path=xl/sharedStrings.xml><?xml version="1.0" encoding="utf-8"?>
<sst xmlns="http://schemas.openxmlformats.org/spreadsheetml/2006/main" count="2501" uniqueCount="842">
  <si>
    <t>План закупок товаров, работ и услуг на 2025 год</t>
  </si>
  <si>
    <t xml:space="preserve">                                                                                              </t>
  </si>
  <si>
    <t xml:space="preserve"> Утвержден приказом
Председателя Правления АО "НПК НБК"
от 06.11.2025 года №13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</si>
  <si>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</si>
  <si>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</si>
  <si>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</si>
  <si>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</si>
  <si>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</si>
  <si>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Способ закупок</t>
  </si>
  <si>
    <t xml:space="preserve">Единица измерения </t>
  </si>
  <si>
    <t xml:space="preserve">Количество, объём </t>
  </si>
  <si>
    <t>Цена за единицу (тенге) без учета налога на добавленную стоимость (далее - НДС)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</si>
  <si>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</si>
  <si>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</si>
  <si>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</si>
  <si>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</si>
  <si>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проведения закупок (квартал/месяц)</t>
  </si>
  <si>
    <t>Примечание</t>
  </si>
  <si>
    <t>АО "НПК НБ РК"</t>
  </si>
  <si>
    <t>Картридж</t>
  </si>
  <si>
    <t>ВМР21 таңбалау принтеріне арналған картридж</t>
  </si>
  <si>
    <t>Картридж к принтеру маркиратору BMP 21</t>
  </si>
  <si>
    <t>Запрос ценовых предложений</t>
  </si>
  <si>
    <t>Штука</t>
  </si>
  <si>
    <t>3 квартал</t>
  </si>
  <si>
    <t>HP LaserJet Pro M428fdw КФҚ арналған картридж</t>
  </si>
  <si>
    <t>Картридж для МФУ HP LaserJet Pro M428fdw</t>
  </si>
  <si>
    <t>1 квартал</t>
  </si>
  <si>
    <t xml:space="preserve">HP LaserJet MFP M570dw КФҚ арналған қара картридж </t>
  </si>
  <si>
    <t>Картридж черный для МФУ HP LaserJet MFP M570dw</t>
  </si>
  <si>
    <t>HP LaserJet MFP M570dw КФҚ арналған көк картридж</t>
  </si>
  <si>
    <t>Картридж голубой для МФУ HP LaserJet MFP M570dw</t>
  </si>
  <si>
    <t xml:space="preserve">HP LaserJet MFP M570dw КФҚ арналған сары картридж </t>
  </si>
  <si>
    <t>Картридж желтый для МФУ HP LaserJet MFP M570dw</t>
  </si>
  <si>
    <t>HP LaserJet MFP M570dw КФҚ арналған күлгін картридж</t>
  </si>
  <si>
    <t>Картридж пурпурный для МФУ HP LaserJet MFP M570dw</t>
  </si>
  <si>
    <t>HP Color LaserJet Enterprise 5800dn КФҚ арналған қара картридж (W2130X)</t>
  </si>
  <si>
    <t>Картридж черый (W2130X) для МФУ HP Color LaserJet Enterprise 5800dn</t>
  </si>
  <si>
    <t>HP Color LaserJet Enterprise 5800dn КФҚ арналған көк картридж (W2131X)</t>
  </si>
  <si>
    <t>Картридж голубой (W2131X) для МФУ HP Color LaserJet Enterprise 5800dn</t>
  </si>
  <si>
    <t>HP Color LaserJet Enterprise 5800dn КФҚ арналған сары картридж (W2132X)</t>
  </si>
  <si>
    <t>Картридж желтый (W2132X) для МФУ HP Color LaserJet Enterprise 5800dn</t>
  </si>
  <si>
    <t>HP Color LaserJet Enterprise 5800dn КФҚ арналған күлгін картридж (W2133X)</t>
  </si>
  <si>
    <t>Картридж пурпурный (W2133X) для МФУ HP Color LaserJet Enterprise 5800dn</t>
  </si>
  <si>
    <t>HP LaserJet Pro M426fdw КФҚ арналған қара картридж</t>
  </si>
  <si>
    <t>Картридж черный для МФУ HP LaserJet Pro M426fdw</t>
  </si>
  <si>
    <t>Xerox VersaLink B7025D КФҚ арналған қара картридж</t>
  </si>
  <si>
    <t>Картридж чёрный для МФУ Xerox VersaLink B7025D</t>
  </si>
  <si>
    <t>Фотобарабан</t>
  </si>
  <si>
    <t>Xerox VersaLink_B7025 КҚҚ үшін фотобарабан (түпнұсқа)</t>
  </si>
  <si>
    <t>Фотобарабан (оригинал) для МФУ Xerox VersaLink_B7025</t>
  </si>
  <si>
    <t>А3 форматындағы КҚҚ-ға арналған тонер-картридж</t>
  </si>
  <si>
    <t>Тонер-картридж для МФУ формата А3</t>
  </si>
  <si>
    <t>2 квартал</t>
  </si>
  <si>
    <t>Барабан</t>
  </si>
  <si>
    <t>А3 форматындағы КҚҚ-ға арналған барабан блогы</t>
  </si>
  <si>
    <t>Блок барабана для МФУ формата А3</t>
  </si>
  <si>
    <t>Мамандандырылған кабель</t>
  </si>
  <si>
    <t>Кабель специализированный</t>
  </si>
  <si>
    <t>UTP Cat 6, RJ-45, 305 м кабелі</t>
  </si>
  <si>
    <t>Кабель UTP Cat 6, RJ-45, 305 м</t>
  </si>
  <si>
    <t>бухта</t>
  </si>
  <si>
    <t>UTP Cat 6, RJ-45, 10 м кабелі</t>
  </si>
  <si>
    <t>Кабель UTP Cat 6, RJ-45, 10 м</t>
  </si>
  <si>
    <t>UTP Cat 6, RJ-45, 5 м кабелі</t>
  </si>
  <si>
    <t>Кабель UTP Cat 6, RJ-45, 5 м</t>
  </si>
  <si>
    <t>UTP Cat 6, RJ-45, 2 м кабелі</t>
  </si>
  <si>
    <t>Кабель UTP Cat 6, RJ-45, 2 м</t>
  </si>
  <si>
    <t>UTP Cat 6, RJ-45, 15 м кабелі</t>
  </si>
  <si>
    <t>Кабель UTP Cat 6, RJ-45, 15 м</t>
  </si>
  <si>
    <t>Коннектор</t>
  </si>
  <si>
    <t>RJ-45 CAT6 8P8C қосқышы</t>
  </si>
  <si>
    <t>Разъем RJ-45 CAT6 8P8C</t>
  </si>
  <si>
    <t>Прямое заключение договора</t>
  </si>
  <si>
    <t>40х16 Кабель-канал</t>
  </si>
  <si>
    <t>Кабель-канал 40х16</t>
  </si>
  <si>
    <t>Метр</t>
  </si>
  <si>
    <t>100х60 Кабель-канал</t>
  </si>
  <si>
    <t>Кабель-канал 100х60</t>
  </si>
  <si>
    <t>4 квартал</t>
  </si>
  <si>
    <t>Қамыт (тұтастырғыш)</t>
  </si>
  <si>
    <t>Хомут (стяжка)</t>
  </si>
  <si>
    <t xml:space="preserve">1 типті кабельді қамыт </t>
  </si>
  <si>
    <t>Хомут кабельный тип 1</t>
  </si>
  <si>
    <t>Упаковка</t>
  </si>
  <si>
    <t xml:space="preserve">2 типті кабельді қамыт </t>
  </si>
  <si>
    <t>Хомут кабельный тип 2</t>
  </si>
  <si>
    <t xml:space="preserve">3 типті кабельді қамыт </t>
  </si>
  <si>
    <t>Хомут кабельный тип 3</t>
  </si>
  <si>
    <t>Ұзартқыш</t>
  </si>
  <si>
    <t>Удлинитель</t>
  </si>
  <si>
    <t>Желілік сүзгіш</t>
  </si>
  <si>
    <t>Сетевой фильтр</t>
  </si>
  <si>
    <t>Батарейка</t>
  </si>
  <si>
    <t>9V батареялары</t>
  </si>
  <si>
    <t>Батарейки 9V</t>
  </si>
  <si>
    <t>АА батареялары (1,5В)</t>
  </si>
  <si>
    <t xml:space="preserve">Батарейки АА (1,5В) </t>
  </si>
  <si>
    <t>ААА батареялары (1,5В)</t>
  </si>
  <si>
    <t xml:space="preserve">Батарейки ААА (1,5В) </t>
  </si>
  <si>
    <t>Жабысқақ таспа</t>
  </si>
  <si>
    <t>Лента липкая</t>
  </si>
  <si>
    <t>Изолента</t>
  </si>
  <si>
    <t>Флюс</t>
  </si>
  <si>
    <t>Шприцтегі канифоль (тұтқыр)</t>
  </si>
  <si>
    <t>Канифоль в шприце (вязкая)</t>
  </si>
  <si>
    <t>Майлық</t>
  </si>
  <si>
    <t>Салфетка</t>
  </si>
  <si>
    <t>Кеңселік техникаға арналған ылғалды майлықтар (100 дана)</t>
  </si>
  <si>
    <t>Салфетки влажные для офисной техники (100 шт)</t>
  </si>
  <si>
    <t>Жұмсақ құрғақ тықыр майлықтар (40 дана)</t>
  </si>
  <si>
    <t>Салфетки мягкие сухие безворсовые (40 шт)</t>
  </si>
  <si>
    <t>Құрғақ тықыр майлықтар (280 дана)</t>
  </si>
  <si>
    <t>Салфетки сухие без ворса (280 шт)</t>
  </si>
  <si>
    <t>Тозаңдатқыш</t>
  </si>
  <si>
    <t>Распылитель</t>
  </si>
  <si>
    <t>Сығылған ауа-пневмотазартқыш 400 мл.</t>
  </si>
  <si>
    <t>Сжатый воздух-пневмоочиститель 400 мл.</t>
  </si>
  <si>
    <t>Тазарту құралы</t>
  </si>
  <si>
    <t>Средство чистящее</t>
  </si>
  <si>
    <t>Резеңкелік беттерді тазалауға және қалпына келтіруге арналған құрал</t>
  </si>
  <si>
    <t>Средство для очистки и восстановления резиновых поверхностей</t>
  </si>
  <si>
    <t>Пластикті беттерді тазалауға арналған құрал</t>
  </si>
  <si>
    <t xml:space="preserve">Средство для очистки пластиковых поверхностей </t>
  </si>
  <si>
    <t>Желім</t>
  </si>
  <si>
    <t>Клей</t>
  </si>
  <si>
    <t>Супер желім</t>
  </si>
  <si>
    <t>Суперклей</t>
  </si>
  <si>
    <t>Термопаста</t>
  </si>
  <si>
    <t>Кеңсе жабдығына арналған қағаз</t>
  </si>
  <si>
    <t>Бумага для офисного оборудования</t>
  </si>
  <si>
    <t>А3 қағазы</t>
  </si>
  <si>
    <t>Бумага А3</t>
  </si>
  <si>
    <t>Пачка</t>
  </si>
  <si>
    <t>А4 қағазы</t>
  </si>
  <si>
    <t>Бумага А4</t>
  </si>
  <si>
    <t>Фотоқағаз</t>
  </si>
  <si>
    <t>Фотобумага</t>
  </si>
  <si>
    <t xml:space="preserve">A4 жылтыр фото қағазы </t>
  </si>
  <si>
    <t>Фотобумага глянцевая А4</t>
  </si>
  <si>
    <t xml:space="preserve">A4 күңгірт фото қағазы </t>
  </si>
  <si>
    <t>Фотобумага матовая А4</t>
  </si>
  <si>
    <t>Өздігінен жабысатын А4  ақ қағаз</t>
  </si>
  <si>
    <t>Бумага белая самоклеящаяся А4</t>
  </si>
  <si>
    <t>Бланк</t>
  </si>
  <si>
    <t>Бұйрық бланкілері</t>
  </si>
  <si>
    <t>Бланки приказов</t>
  </si>
  <si>
    <t>Т2 нысанды жеке карточка (ақ түсті)</t>
  </si>
  <si>
    <t>Личная карточка формы Т2 (белого цвета)</t>
  </si>
  <si>
    <t>Кадрларды есепке алу жөніндегі жеке парақ (ақ түсті)</t>
  </si>
  <si>
    <t>Личный листок по учету кадров (белого цвета)</t>
  </si>
  <si>
    <t>Калькулятор</t>
  </si>
  <si>
    <t>Пышақ</t>
  </si>
  <si>
    <t>Нож</t>
  </si>
  <si>
    <t>Кеңсе пышағы</t>
  </si>
  <si>
    <t>Нож канцелярский</t>
  </si>
  <si>
    <t>Қайшы</t>
  </si>
  <si>
    <t>Ножницы</t>
  </si>
  <si>
    <t>Степлер</t>
  </si>
  <si>
    <t>Степлер №24/6</t>
  </si>
  <si>
    <t>Антистеплер</t>
  </si>
  <si>
    <t>Тескіш</t>
  </si>
  <si>
    <t>Дырокол</t>
  </si>
  <si>
    <t>Үлкен тескіш (25 п)</t>
  </si>
  <si>
    <t>Дырокол большой (25 л)</t>
  </si>
  <si>
    <t>Қарындаш</t>
  </si>
  <si>
    <t>Карандаш</t>
  </si>
  <si>
    <t>Өшіргіш қарындаш</t>
  </si>
  <si>
    <t>Карандаш с ластиком</t>
  </si>
  <si>
    <t>Маркер</t>
  </si>
  <si>
    <t>Тақтаға арналған маркер</t>
  </si>
  <si>
    <t>Маркер для доски</t>
  </si>
  <si>
    <t>Компакт-дискілерге арналған маркер</t>
  </si>
  <si>
    <t>Маркер для компакт-дисков</t>
  </si>
  <si>
    <t>СКС үшін перманентті, жұқа өзекті (қара, жуылмайтын) тұрақты маркер</t>
  </si>
  <si>
    <t>Маркер перманентный, тонкий стержень (нестираемый черный) для СКС</t>
  </si>
  <si>
    <t>Мәтіндік маркер</t>
  </si>
  <si>
    <t>Маркер текстовый</t>
  </si>
  <si>
    <t>Кеңсе қаламы</t>
  </si>
  <si>
    <t>Ручка канцелярская</t>
  </si>
  <si>
    <t>Көк шарикті қаламсап</t>
  </si>
  <si>
    <t>Ручка шариковая синяя</t>
  </si>
  <si>
    <t>Папка</t>
  </si>
  <si>
    <t>Сақиналы папка</t>
  </si>
  <si>
    <t>Папка с кольцами</t>
  </si>
  <si>
    <t>5 см тіркеуші</t>
  </si>
  <si>
    <t>Регистратор 5 см</t>
  </si>
  <si>
    <t>Пластикалық байланыстырғыш</t>
  </si>
  <si>
    <t>Скоросшиватель пластиковый</t>
  </si>
  <si>
    <t>Логотипі бар жүгіртпе  папка  ("ҚР ҰБ ҰТК" АҚ)</t>
  </si>
  <si>
    <t>Папка-бегунок с логотипом (АО "НПК НБРК")</t>
  </si>
  <si>
    <t>Бейдж</t>
  </si>
  <si>
    <t>Келушілерге арналған бауы бар пластикалық белгі</t>
  </si>
  <si>
    <t>Бейдж пластиковый со шнуром для посетителей</t>
  </si>
  <si>
    <t>Қағаз</t>
  </si>
  <si>
    <t>Бумага</t>
  </si>
  <si>
    <t>Жабысқақ қабаты бар белгілеуге арналған қағаз 76*125</t>
  </si>
  <si>
    <t>Бумага для заметок с липким слоем 76*125</t>
  </si>
  <si>
    <t>Жабысқақ қабаты бар белгілеуге арналған қағаз 76*76</t>
  </si>
  <si>
    <t>Бумага для заметок с липким слоем 76*76</t>
  </si>
  <si>
    <t>Сорғыш</t>
  </si>
  <si>
    <t>Губка</t>
  </si>
  <si>
    <t>Тақтаға арналған магнитті сорғыш</t>
  </si>
  <si>
    <t>Губка магнитная для доски</t>
  </si>
  <si>
    <t>Күнделік</t>
  </si>
  <si>
    <t>Ежедневник</t>
  </si>
  <si>
    <t>Журнал</t>
  </si>
  <si>
    <t>Кіріс хат-хабарларды тіркеу журналы</t>
  </si>
  <si>
    <t>Журнал регистрации входящей корреспонденции</t>
  </si>
  <si>
    <t>Шығыс хат-хабарларды тіркеу журналы</t>
  </si>
  <si>
    <t>Журнал регистрации исходящей корреспонденции</t>
  </si>
  <si>
    <t>Қыстырғыш</t>
  </si>
  <si>
    <t>Скрепка</t>
  </si>
  <si>
    <t>Қысқыш 19 мм</t>
  </si>
  <si>
    <t>Зажим 19 мм</t>
  </si>
  <si>
    <t>Қысқыш 41 мм</t>
  </si>
  <si>
    <t>Зажим 41 мм</t>
  </si>
  <si>
    <t>Бөлгіш</t>
  </si>
  <si>
    <t>Разделитель</t>
  </si>
  <si>
    <t>Пластикалық индекс 12*42 мм</t>
  </si>
  <si>
    <t>Индекс пластиковый 12*42 мм</t>
  </si>
  <si>
    <t>Қарындаш-желімі 15 гр</t>
  </si>
  <si>
    <t>Клей-карандаш 15 гр</t>
  </si>
  <si>
    <t>Конверт</t>
  </si>
  <si>
    <t>А4 конверті</t>
  </si>
  <si>
    <t>Конверт А4</t>
  </si>
  <si>
    <t>Сызғыш</t>
  </si>
  <si>
    <t>Линейка</t>
  </si>
  <si>
    <t>Пластмассадан жасалған сызғыш</t>
  </si>
  <si>
    <t>Линейка пластмассовая</t>
  </si>
  <si>
    <t>Жіп</t>
  </si>
  <si>
    <t>Нить</t>
  </si>
  <si>
    <t>Құжаттарды тігуге арналған жіп</t>
  </si>
  <si>
    <t>Нить для прошивки документов</t>
  </si>
  <si>
    <t>Қапсырма</t>
  </si>
  <si>
    <t>Скоба</t>
  </si>
  <si>
    <t>№24/6 степлерге арналған қапсырмалар</t>
  </si>
  <si>
    <t>Скобы для степлера №10</t>
  </si>
  <si>
    <t>Скобы для степлера №24/6</t>
  </si>
  <si>
    <t>Скрепкалар 25 мм</t>
  </si>
  <si>
    <t>Скрепки 25 мм</t>
  </si>
  <si>
    <t>Қосымша - файл</t>
  </si>
  <si>
    <t>Файл - вкладыш</t>
  </si>
  <si>
    <t>Мөлдір файл (100 дана)</t>
  </si>
  <si>
    <t>Файл прозрачный (100 шт)</t>
  </si>
  <si>
    <t>Ұшқынды тұтатқышты қозғалтқыштарға арналған бензин</t>
  </si>
  <si>
    <t>Бензин для двигателей с искровым зажиганием</t>
  </si>
  <si>
    <t>АИ-95 бензині</t>
  </si>
  <si>
    <t>Бензин АИ-95</t>
  </si>
  <si>
    <t>Литр</t>
  </si>
  <si>
    <t>Медициналық қорабы</t>
  </si>
  <si>
    <t>Аптечка медицинская</t>
  </si>
  <si>
    <t>Автомобильді дәрі қобдишасы</t>
  </si>
  <si>
    <t>Аптечка автомобильная</t>
  </si>
  <si>
    <t>Әйнектазартқыш</t>
  </si>
  <si>
    <t>Стеклоочиститель</t>
  </si>
  <si>
    <t>Әйнек тазалаушы-қысқы (5 л)</t>
  </si>
  <si>
    <t>Очиститель стекол-зима (5 л)</t>
  </si>
  <si>
    <t>Ауырған жағдайда медициналық сақтандыру бойынша қызметтер</t>
  </si>
  <si>
    <t>Услуги по медицинскому страхованию на случай болезни</t>
  </si>
  <si>
    <t>Қызметкерлерді науқастану жағдайлардан сақтандыру</t>
  </si>
  <si>
    <t>Страхование работников на случай болезни</t>
  </si>
  <si>
    <t>Услуга</t>
  </si>
  <si>
    <t xml:space="preserve">Создание дополнительного соглашения </t>
  </si>
  <si>
    <t>Жазатайым оқиғалардан сақтандыру бойынша қызмет көрсетулер</t>
  </si>
  <si>
    <t>Услуги по страхованию от несчастных случаев</t>
  </si>
  <si>
    <t>Қызметкер еңбек (қызметтік) міндеттерін атқарған кезде оны жазатайым оқиғалардан міндетті сақтандыру</t>
  </si>
  <si>
    <t>Обязательное страхование работников от несчастных случаев при исполнении ими трудовых (служебных) обязанностей</t>
  </si>
  <si>
    <t>Ақпараттық технологиялар тексеруін жүргізу бойынша қызмет көрсету</t>
  </si>
  <si>
    <t>Услуги по проведению аудита информационных технологий</t>
  </si>
  <si>
    <t>РСI DSS стандарттары талаптарынының сәйкестігіне сертификаттау аудиті</t>
  </si>
  <si>
    <t xml:space="preserve">Сертификационный аудит на соответствие требованиям стандартов РСI DSS </t>
  </si>
  <si>
    <t>Тендер</t>
  </si>
  <si>
    <t>РСI PIN Security стандарттары талаптарынының сәйкестігіне сертификаттау аудиті</t>
  </si>
  <si>
    <t>Сертификационный аудит на соответствие требованиям стандартов PCI PIN Security</t>
  </si>
  <si>
    <t>Қаржылық есеп аудитін жүргізу бойынша қызмет</t>
  </si>
  <si>
    <t>Услуги по проведению аудита финансовой отчетности</t>
  </si>
  <si>
    <t>Қаржылық есеп аудиті</t>
  </si>
  <si>
    <t>Аудит финансовой отчетности</t>
  </si>
  <si>
    <t>4 квартал - ноябрь</t>
  </si>
  <si>
    <t>изменение</t>
  </si>
  <si>
    <t>Ақпараттық қауіпсіздік аудиті</t>
  </si>
  <si>
    <t>Аудит информационной безопасности</t>
  </si>
  <si>
    <t>3 квартал - сентябрь</t>
  </si>
  <si>
    <t>Ақпараттық технологияларды тестілеу бойынша қызмет көрсетулер</t>
  </si>
  <si>
    <t>Услуги по тестированию информационных технологий</t>
  </si>
  <si>
    <t>Ақпараттық жүйенің ақпараттық қауіпсіздік талаптарына сәйкестігіне сынақ жүргізу жөніндегі</t>
  </si>
  <si>
    <t>Проведение испытания информационной системы на соответствие требованиям информационной безопасности</t>
  </si>
  <si>
    <t>Автокөлікті/арнайы техниканы жуу бойынша қызметтер</t>
  </si>
  <si>
    <t>Услуги по мойке автотранспорта/спецтехники</t>
  </si>
  <si>
    <t>Автокөліктерді жуу (Toyota)</t>
  </si>
  <si>
    <t>Мойка автомобилей (Toyota)</t>
  </si>
  <si>
    <t>Volkswagen шағын автобустарын жуу</t>
  </si>
  <si>
    <t>Мойка микроавтобусов Volkswagen</t>
  </si>
  <si>
    <t>GPS-мониторингі жүйесі арқылы автокөлік құралдарына мониторинг қызметтері</t>
  </si>
  <si>
    <t>Услуги мониторинга за автотранспортными средствами посредством системы GPS-мониторинга</t>
  </si>
  <si>
    <t>GPS-мониторинг жүйесі арқылы автокөлік құралдарына мониторинг</t>
  </si>
  <si>
    <t>Мониторинг за автотранспортными средствами посредством системы GPS-мониторинга</t>
  </si>
  <si>
    <t>Автокөлік құралдарын жөндеу бойынша жұмыстар</t>
  </si>
  <si>
    <t>Работы по ремонту автотранспортных средств</t>
  </si>
  <si>
    <t>Toyota автокөлігін техникалық қызмет көрсету және жөндеу</t>
  </si>
  <si>
    <t>Техническое обслуживание и ремонт автомобиля Toyota</t>
  </si>
  <si>
    <t>Работа</t>
  </si>
  <si>
    <t xml:space="preserve">Volkswagen шағын автобустарға техникалық қызмет көрсету және жөндеу </t>
  </si>
  <si>
    <t>Техническое обслуживание и ремонт микроавтобусов Volkswagen</t>
  </si>
  <si>
    <t>Жүкті аралас тасымалдау бойынша қызмет көрсетулер</t>
  </si>
  <si>
    <t>Услуги по смешанной перевозке груза</t>
  </si>
  <si>
    <t>Деректерді өңдеу орталығының жабдықтарын қайта орналастыру</t>
  </si>
  <si>
    <t>Передислокация оборудования Центра обработки данных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</si>
  <si>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</si>
  <si>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</si>
  <si>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Toyota автокөліктерін техникалық қарау</t>
  </si>
  <si>
    <t>Технический осмотр автомобилей (Toyota)</t>
  </si>
  <si>
    <t>Volkswagen шағын автобусынтарын техникалық қарау</t>
  </si>
  <si>
    <t>Технический осмотр микроавтобусов Volkswagen</t>
  </si>
  <si>
    <t>Персонал/қызметкерлерді оқыту қызметі</t>
  </si>
  <si>
    <t>Услуги по обучению персонала/сотрудников</t>
  </si>
  <si>
    <t>Өрт қауіпсіздігіне оқыту</t>
  </si>
  <si>
    <t>Обучение противопожарной безопасности</t>
  </si>
  <si>
    <t xml:space="preserve">2 квартал </t>
  </si>
  <si>
    <t>Электр кернеуімен жұмыс істеу кезінде қауіпсіздік техникасы бойынша міндетті оқытудан өту</t>
  </si>
  <si>
    <t>Прохождение обязательного обучения по технике безопасности при работе с электрическим напряжением</t>
  </si>
  <si>
    <t>ISO-27001 ақпараттық қауіпсіздікті басқару жүйесін оқыту. Енгізу бойынша жетекші маман</t>
  </si>
  <si>
    <t>Обучение ISO-27001 Системы управления информационной безопасностью. Ведущий специалист по внедрению</t>
  </si>
  <si>
    <t xml:space="preserve">3 квартал </t>
  </si>
  <si>
    <t>Ақпараттық қауіпсіздікті басқару жүйесі курсы бойынша оқыту</t>
  </si>
  <si>
    <t>Обучение по курсу Система управления информационной безопасностью</t>
  </si>
  <si>
    <t>Жүйе дизайны (system design) курсы бойынша оқыту</t>
  </si>
  <si>
    <t>Обучение по курсу Системный дизайн (system design)</t>
  </si>
  <si>
    <t>UNDERSTANDING THE REQUIREMENTS AND CONCEPTS OF ISO/IEC 17025:2017 курсы бойынша оқыту</t>
  </si>
  <si>
    <t>Обучение по курсу Understanding the Requirements and Concepts of ISO/IEC 17025:2017</t>
  </si>
  <si>
    <t>INTERNAL AUDITING TO ISO/IEC 17025:2017 (NON-FORENSIC) курсы бойынша оқыту</t>
  </si>
  <si>
    <t xml:space="preserve">Обучение по курсу INTERNAL AUDITING TO ISO/IEC 17025:2017 (NON-FORENSIC) </t>
  </si>
  <si>
    <t xml:space="preserve">4 квартал </t>
  </si>
  <si>
    <t>Жүйелік талдау курсы бойынша оқыту</t>
  </si>
  <si>
    <t>Обучение по курсу Системный анализ</t>
  </si>
  <si>
    <t>«Қаржылық есептілікті автоматтандыру» курсы бойынша оқыту</t>
  </si>
  <si>
    <t>Обучение по курсу "Автоматизация финансовой отчетности"</t>
  </si>
  <si>
    <t>«Junior Product Manager» курсы бойынша оқыту</t>
  </si>
  <si>
    <t>Обучение по курсу "Junior Product Manager"</t>
  </si>
  <si>
    <t>COBIT 2019 негізінде процестерді ішкі бақылау және бағалау</t>
  </si>
  <si>
    <t>Внутренний контроль и оценка процессов на основе COBIT 2019</t>
  </si>
  <si>
    <t xml:space="preserve">«Red Hat жүйелік әкімшілендіру, I бөлім» курсы бойынша оқыту </t>
  </si>
  <si>
    <t>Обучение по курсу "Системное администрирование Red Hat, часть I"</t>
  </si>
  <si>
    <t>Жоғары оқу орнынан кейінгі білім беру бағдарламасы бойынша іскерлік әкімшілендіру саласында кадрлар даярлау жөніндегі қызметтер (магистратура)</t>
  </si>
  <si>
    <t>Услуги по подготовке кадров в сфере делового администрирования по программе послевузовского образования (магистратура)</t>
  </si>
  <si>
    <t>Data Scientist Мамандығы курсы бойынша оқыту</t>
  </si>
  <si>
    <t>Обучение по курсу Профессия Data Scientist</t>
  </si>
  <si>
    <t>Cobit5 негіздері тақырыбы бойынша біліктілікті арттыру</t>
  </si>
  <si>
    <t>Повышение квалификации на тему Основы Cobit5</t>
  </si>
  <si>
    <t>Жаңадан бастаушыларға арналған Machine Learning курсы бойынша оқыту</t>
  </si>
  <si>
    <t>Обучение по курсу Machine Learning для начинающих</t>
  </si>
  <si>
    <t>«Implementing and Administering Cisco Solutions» курсы бойынша оқыту</t>
  </si>
  <si>
    <t>Обучение по курсу «Implementing and Administering Cisco Solutions»</t>
  </si>
  <si>
    <t>"CompTIA Cybersecurity Analyst (CySA+)" курсы бойынша оқыту</t>
  </si>
  <si>
    <t>Обучение по курсу "CompTIA Cybersecurity Analyst (CySA+)"</t>
  </si>
  <si>
    <t>ITIL 4 Foundation Certification тақырыбы бойынша біліктілікті арттыру</t>
  </si>
  <si>
    <t>Курс «ITIL® 4. Создание, предоставление и поддержка услуг» ITIL4 CDS</t>
  </si>
  <si>
    <t>Advanced Linux Administration тақырыбы бойынша біліктілікті арттыру</t>
  </si>
  <si>
    <t>Повышение квалификации на тему: Advanced Linux Administration</t>
  </si>
  <si>
    <t>Red Hat  (RH124) тақырыбы бойынша біліктілікті арттыру</t>
  </si>
  <si>
    <t>Повышение квалификации на тему: Системное администрирование Red Hat (RH124)</t>
  </si>
  <si>
    <t>Red Hat System Administration I (RH124) курсы бойынша оқыту</t>
  </si>
  <si>
    <t>Обучение по курсу Red Hat System Administration I (RH124)</t>
  </si>
  <si>
    <t>Red Hat System Administration II (RH134) курсы бойынша оқыту</t>
  </si>
  <si>
    <t>Обучение по курсу Red Hat System Administration II (RH134)</t>
  </si>
  <si>
    <t>Red Hat Enterprise Linux Automation with Ansible (RH294) курсы бойынша оқыту</t>
  </si>
  <si>
    <t>Обучение по курсу Red Hat Enterprise Linux Automation with Ansible (RH294)</t>
  </si>
  <si>
    <t>Oracle Database 19c: Administration Workshop тақырыбы бойынша біліктілікті арттыру</t>
  </si>
  <si>
    <t>Повышение квалификации на тему: Oracle Database 19c: Administration Workshop</t>
  </si>
  <si>
    <t>"ҚР Еңбек кодексі. Келісу комиссиясының жұмыс тәртібі" тақырыбы бойынша біліктілікті арттыру</t>
  </si>
  <si>
    <t>Повышение квалификации на тему: "Трудовой кодекс РК. Порядок работы согласительной комиссии"</t>
  </si>
  <si>
    <t>Еңбек қауіпсіздігі және еңбекті қорғау мәселелері бойынша оқыту</t>
  </si>
  <si>
    <t>Обучение по вопросам безопасности и охране труда</t>
  </si>
  <si>
    <t>Кәсіби бухгалтерлердің біліктілігін міндетті түрде арттыру</t>
  </si>
  <si>
    <t>Обязательное повышение квалификации профессиональных бухгалтеров</t>
  </si>
  <si>
    <t>Тіркелетін пошта жөнелтілімдерін жөнелту қызметі</t>
  </si>
  <si>
    <t>Услуги по пересылке регистрируемых почтовых отправлений</t>
  </si>
  <si>
    <t>Тіркелетін пошта жөнелтілімдерін жіберу</t>
  </si>
  <si>
    <t>Отправка регистрируемых почтовых отправлений</t>
  </si>
  <si>
    <t>Жеделдетілген/курьерлік пошталық байланыс бойынша қызметтер</t>
  </si>
  <si>
    <t>Услуги по ускоренной/курьерской почтовой связи</t>
  </si>
  <si>
    <t>Жеделдетілген және курьерлік қызметтің тіркелетін пошта жөнелтілімдері мен жіберілімдерін жөнелтуі</t>
  </si>
  <si>
    <t>Отправка регистрируемых почтовых отправлений и посылок ускоренной и курьерской службой</t>
  </si>
  <si>
    <t>Интернетке қолжеткізу бойынша қызметтер</t>
  </si>
  <si>
    <t>Услуги по доступу к Интернету</t>
  </si>
  <si>
    <t>DDoS-шабуылдардан қорғалған Интернет желісіне кіру (негізгі байланыс арнасы)</t>
  </si>
  <si>
    <t>Доступ к сети Интернет с защитой от DDoS-атак (основной канал связи)</t>
  </si>
  <si>
    <t>DDoS-шабуылдардан қорғалған Интернет желісіне кіру (резервтік байланыс арнасы)</t>
  </si>
  <si>
    <t>Доступ к сети Интернет с защитой от DDoS-атак (резервный канал связи)</t>
  </si>
  <si>
    <t xml:space="preserve">1 квартал </t>
  </si>
  <si>
    <t>Қорғалған Интернет желісіне кіру (Астана)</t>
  </si>
  <si>
    <t>Доступ к сети Интернет с защитой (Астана)</t>
  </si>
  <si>
    <t>DDoS-шабуылдардан желіні қорғау қызметтері</t>
  </si>
  <si>
    <t>Услуга защиты сети от DDoS-атак</t>
  </si>
  <si>
    <t>Интернет желісіне кіру (Қосшы)</t>
  </si>
  <si>
    <t>Доступ к сети Интернет (Косшы)</t>
  </si>
  <si>
    <t xml:space="preserve">Интернет (ДӨО) желісіне қол жеткізу </t>
  </si>
  <si>
    <t>Доступ к сети Интернет (ЦОД)</t>
  </si>
  <si>
    <t xml:space="preserve">СВИФТ арналған желіге кіру </t>
  </si>
  <si>
    <t>Доступ к сети для СВИФТ</t>
  </si>
  <si>
    <t>Домендік атау көрсету бойынша қызмет көрсетулер</t>
  </si>
  <si>
    <t>Услуги по предоставлению доменного имени</t>
  </si>
  <si>
    <t>Домен атын ұзарту</t>
  </si>
  <si>
    <t>Продление доменного имени</t>
  </si>
  <si>
    <t>Байланыс арналарын жалдау бойынша қызметтер</t>
  </si>
  <si>
    <t>Услуги по аренде каналов связи</t>
  </si>
  <si>
    <t>IP VPN арнасының көмегімен байланыс қызметтері Алматы (негізгі)-Қосшы</t>
  </si>
  <si>
    <t>Услуги связи посредством IP VPN канала Алматы (основной) - Косшы</t>
  </si>
  <si>
    <t>IP VPN арнасының көмегімен байланыс қызметтері Алматы (негізгі)-Астана</t>
  </si>
  <si>
    <t>Услуги связи посредством IP VPN канала Алматы (основной) - Астана</t>
  </si>
  <si>
    <t>IP VPN арнасының көмегімен байланыс қызметтері Алматы (резервтік)-Қосшы</t>
  </si>
  <si>
    <t>Услуги связи посредством IP VPN канала Алматы (резервный) - Косшы</t>
  </si>
  <si>
    <t>IP VPN арнасының көмегімен байланыс қызметтері Алматы (резервтік)-Астана</t>
  </si>
  <si>
    <t>Услуги связи посредством IP VPN канала Алматы (резервный) - Астана</t>
  </si>
  <si>
    <t>Телефондық байланысының қызмет көрсетулері</t>
  </si>
  <si>
    <t xml:space="preserve">	Услуги телефонной связи</t>
  </si>
  <si>
    <t>Телекоммуникация қызметтерін көрсету</t>
  </si>
  <si>
    <t>Предоставление услуг телекоммуникаций</t>
  </si>
  <si>
    <t>Телефон байланысы қызметтері</t>
  </si>
  <si>
    <t>Услуги телефонной связи</t>
  </si>
  <si>
    <t>SMS хабарламаларды жіберу қызметтері</t>
  </si>
  <si>
    <t>Услуги по отправке SMS уведомлений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</si>
  <si>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</si>
  <si>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</si>
  <si>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Бейне бақылау жүйесіне техникалық қызмет көрсету</t>
  </si>
  <si>
    <t>Техническое обслуживание системы видеонаблюдения</t>
  </si>
  <si>
    <t>Кіруді бақылау және басқару жүйесінің жабдықтарына техникалық қызмет көрсету</t>
  </si>
  <si>
    <t>Техническое обслуживание оборудования системы контроля и управления доступом</t>
  </si>
  <si>
    <t>Автоматтандырылған газбен өрт сөндіру жүйесіне техникалық қызмет көрсету</t>
  </si>
  <si>
    <t>Техническое обслуживание системы автоматического газового пожаротушения</t>
  </si>
  <si>
    <t>Автоматтандырылған газбен өрт сөндіру және сигнал беру жүйесіне техникалық қызмет көрсету</t>
  </si>
  <si>
    <t xml:space="preserve">Техническое обслуживание системы автоматического газового пожаротушения и сигнализации </t>
  </si>
  <si>
    <t>Серверлік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</si>
  <si>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</si>
  <si>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HPE cерверлік жабдықтарға техникалық қолдау көрсету қызметтері</t>
  </si>
  <si>
    <t>Услуги технического обслуживания серверного оборудования HPE</t>
  </si>
  <si>
    <t>Dell cерверлік жабдықтарға техникалық қолдау көрсету қызметтері</t>
  </si>
  <si>
    <t>Услуги технического обслуживания серверного оборудования Dell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</si>
  <si>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</si>
  <si>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</si>
  <si>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Galaxy үздіксіз қуат көздеріне техникалық қызмет көрсету</t>
  </si>
  <si>
    <t>Техническое обслуживание источников бесперебойного питания Galaxy (РЦ)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</si>
  <si>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</si>
  <si>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</si>
  <si>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Gamatronic Centric үздіксіз қуат көздеріне техникалық қызмет көрсету</t>
  </si>
  <si>
    <t>Техническое обслуживание источников бесперебойного питания Gamatronic Centric (ОЦ)</t>
  </si>
  <si>
    <t xml:space="preserve">Запрос ценовых предложений </t>
  </si>
  <si>
    <t>Климаттық (кондиционерлік) жабдықтауды және жүйелерді/ вентиляция жүйелері мен жабдықтауды техникалық қамтамасыз ету бойынша қызмет көрсетулер</t>
  </si>
  <si>
    <t>Негізгі орталықтың кондиционерлеріне техникалық қызмет көрсету</t>
  </si>
  <si>
    <t>Техническое обслуживание кондиционеров основного центра</t>
  </si>
  <si>
    <t>Резервтік орталықтың кондиционерлеріне техникалық қызмет көрсету</t>
  </si>
  <si>
    <t>Техническое обслуживание кондиционеров резервного центра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</si>
  <si>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</si>
  <si>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</si>
  <si>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ТОБЖ техникалық қызмет көрсету</t>
  </si>
  <si>
    <t>Техническое обслуживание ВОЛС</t>
  </si>
  <si>
    <t>Бағдарламалық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</si>
  <si>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</si>
  <si>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Бейне қабырғаның жабдықтарына техникалық қызмет көрсету</t>
  </si>
  <si>
    <t>Техническое обслуживание оборудования видеостен</t>
  </si>
  <si>
    <t>Желілік жабдықтарға техникалық қызмет көрсету</t>
  </si>
  <si>
    <t xml:space="preserve">Техническое обслуживание сетевого оборудования </t>
  </si>
  <si>
    <t>Cisco телефондарына техникалық  қолдау көрсету қызметтері</t>
  </si>
  <si>
    <t>Услуги технической поддержки телефонов Cisco</t>
  </si>
  <si>
    <t>Төлем жүйесінің жұмыс істеуіне арналған біріңғай бағдарламалық-аппараттық кешеніне техникалық қолдау көрсету</t>
  </si>
  <si>
    <t>Техническая поддержка единого программно-апппаратного комплекса для функционирования платежной системы</t>
  </si>
  <si>
    <t>Климаттық жабдықтарды / вентиляциялық жүйелер мен жабдықтарды жөндеу/жаңғырту бойынша жұмыстар</t>
  </si>
  <si>
    <t>Работы по ремонту/модернизации климатического оборудования и систем/вентиляционных систем и оборудования</t>
  </si>
  <si>
    <t>Кондиционерлерге ағымдағы жөндеу</t>
  </si>
  <si>
    <t>Текущий ремонт кондиционеров</t>
  </si>
  <si>
    <t>Компьютерлік/перифериялық оргтехниканы/жабдықтарды жөндеу/жаңғырту бойынша жұмыстар</t>
  </si>
  <si>
    <t>Работы по ремонту/модернизации компьютерной/периферийной оргтехники/оборудования</t>
  </si>
  <si>
    <t>Кеңселік техниканы ағымдағы жөндеу</t>
  </si>
  <si>
    <t>Текущий ремонт офисной техники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</si>
  <si>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</si>
  <si>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</si>
  <si>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SWIFT АЖ сүйемелдеу</t>
  </si>
  <si>
    <t xml:space="preserve">Сопровождение ИС SWIFT </t>
  </si>
  <si>
    <t>«ҰТК» АҚ-ның есепке алу жүйелерін сүйемелдеу</t>
  </si>
  <si>
    <t>Сопровождение систем учета АО "НПК"</t>
  </si>
  <si>
    <t>БААЖ ТЖ БҚ, БК ТЖ Б, ЖЭТЖ ТЖ БҚ, БХАЖ БҚ, "Веб-консоль" БҚ техникалық қолдау көрсету</t>
  </si>
  <si>
    <t>Техническая поддержка ПО ПС МСПД, ПО ПС CМК, ПО ПС СМЭП, ПО СОБС-5, ПО «Веб-консоль»</t>
  </si>
  <si>
    <t>"ҰТК" АҚ-ның есеп жүйелеріне ақпараттық-техникалық қолдау көрсету</t>
  </si>
  <si>
    <t>Информационно-техническое сопровождение систем учета АО "НПК"</t>
  </si>
  <si>
    <t>Сайттарды техникалық қолдау бойынша қызмет көрсетулер</t>
  </si>
  <si>
    <t>Услуги по технической поддержке сайтов</t>
  </si>
  <si>
    <t>"ҰТК" АҚ сайтын сүйемелдеу және техникалық қолдау көрсету</t>
  </si>
  <si>
    <t>Сопровождение и техническая поддержка сайта АО "НПК"</t>
  </si>
  <si>
    <t>Oracle ТКБЖ ДББЖ кеңейтілген техникалық қолдау көрсету</t>
  </si>
  <si>
    <t>Расширенная техническая поддержка СУБД Oracle МСПК</t>
  </si>
  <si>
    <t>1 квартал - январь</t>
  </si>
  <si>
    <t>"Төлем жүйесін интеграциялау шлюзі" БҚ техникалық қолдау көрсету</t>
  </si>
  <si>
    <t>Техническая поддержка ПО "Шлюз интеграции платежных систем"</t>
  </si>
  <si>
    <t>3 квартал - июль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</si>
  <si>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</si>
  <si>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</si>
  <si>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Oracle ЛБҚ техникалық қолдау көрсетуді рәсімдеу</t>
  </si>
  <si>
    <t>Оформление технической поддержки ЛПО Oracle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</si>
  <si>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</si>
  <si>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</si>
  <si>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Jira Software (Data Center) 500 Users 1 year БҚ жазылу</t>
  </si>
  <si>
    <t>Подписка на ПО Jira Software (Data Center) 500 Users 1 year</t>
  </si>
  <si>
    <t>Confluence (Data Center) 500 Users 1 year БҚ жазылу</t>
  </si>
  <si>
    <t>Подписка на ПО Confluence (Data Center) 500 Users 1 year</t>
  </si>
  <si>
    <t>Jira Service Management (100 белсенді агент) БҚ жазылу</t>
  </si>
  <si>
    <t>Подписка на ПО Jira Service Management (100 активных агентов)</t>
  </si>
  <si>
    <t>Atlassian стэк негізінде менеджмент-инцендентті орнату</t>
  </si>
  <si>
    <t>Настройка инцендент-менеджмента на основе стэка Atlassian</t>
  </si>
  <si>
    <t>Smart Courses for Confluence және Easy Forms for Confluence Data Center for Confluence жазылу</t>
  </si>
  <si>
    <t>Подписка на Smart Courses for Confluence и Easy Forms for Confluence Data Center for Confluence</t>
  </si>
  <si>
    <t>Risk Register Data Center for Jira Service Management модуліне бағдарламалық қамтамасыз етуге жазылу</t>
  </si>
  <si>
    <t xml:space="preserve">Подписка на программное обеспечение на модуль Risk Register Data Center for Jira Service Management </t>
  </si>
  <si>
    <t>Нормативті құжаттар сілтегіші</t>
  </si>
  <si>
    <t>Указатель нормативных документов</t>
  </si>
  <si>
    <t>Биометриялық сәйкестендіру саласындағы электрондық форматтағы стандарттар</t>
  </si>
  <si>
    <t>Стандарты в сфере биометрической идентификации в электронном формате</t>
  </si>
  <si>
    <t>Комплект</t>
  </si>
  <si>
    <t>CDN (Content Delivery Network) онлайн қызметі</t>
  </si>
  <si>
    <t>Online услуга CDN (Content Delivery Network)</t>
  </si>
  <si>
    <t xml:space="preserve"> Figma БҚ арналған жылдық жазылымды ұзарту</t>
  </si>
  <si>
    <t>Продление годовой подписки на ПО Figma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</si>
  <si>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</si>
  <si>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</si>
  <si>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Есептеу ресурстарын жалға алу</t>
  </si>
  <si>
    <t>Аренда вычислительных ресурсов</t>
  </si>
  <si>
    <t>Желілік инфрақұрылым мониторингі үшін бағдарламалық қамтамасыз етуге жазылу</t>
  </si>
  <si>
    <t>Подписка на программное обеспечение для мониторинга сетевой инфраструктуры</t>
  </si>
  <si>
    <t>Бағдарламалық қамсыздандыруды әзірлеу платформасына арналған лицензияларына жазылу</t>
  </si>
  <si>
    <t>Подписка на лицензии для платформы разработки программного обеспечения</t>
  </si>
  <si>
    <t>Әзірлеудің интеграцияланған ортасын бағдарламалық қамтамасыз ету үшін лицензияларға жазылу</t>
  </si>
  <si>
    <t>Подписка на лицензии для программного обеспечения интегрированной среды разработки</t>
  </si>
  <si>
    <t>Криптожабдықтарға техникалық қолдау қызметіне (HSM-1000tps) жазылу</t>
  </si>
  <si>
    <t>Подписка на техническую поддержку криптооборудования (HSM-1000 tps)</t>
  </si>
  <si>
    <t>Бастапқы кодтарды талдау жүйесі БҚ арналған лицензияларды ұзарту</t>
  </si>
  <si>
    <t>Продление лицензии для ПО системы анализа исходного кода</t>
  </si>
  <si>
    <t>Веб қосымшаларды қорғау БАК лицензияларын ұзарту (WAF)</t>
  </si>
  <si>
    <t>Продление лицензии ПАК защиты веб приложений (WAF)</t>
  </si>
  <si>
    <t>Компьютерлік бағдарламаларды қауіпсіз орындау үшін виртуалды орта лицензияларын ұзарту</t>
  </si>
  <si>
    <t>Продление лицензий виртуальной среды для безопасного исполнения компьютерных программ</t>
  </si>
  <si>
    <t>Жаңа буынның желіаралық экранымен басқарылатын Wi-Fi қол жеткізу нүктелері үшін лицензиялық бағдарламалық қамтамасыз етуге жазылуды ұзарту</t>
  </si>
  <si>
    <t>Продление подписки на лицензионное программное обеспечение для точек доступа Wi-Fi, управляемые межсетевым экраном нового поколения</t>
  </si>
  <si>
    <t>Интернет желісіне пайдаланушыларды орталықтандырылған кіруді ұйымдастыруға арналған лицензияларды ұзарту</t>
  </si>
  <si>
    <t>Продление лицензий для устройств централизованного доступа пользователей к сети Интернет</t>
  </si>
  <si>
    <t>Localise платформасына жазылу</t>
  </si>
  <si>
    <t>Подписка на localise</t>
  </si>
  <si>
    <t>Пошта трафигін қорғау құрылғысына арналған лицензияларды ұзарту</t>
  </si>
  <si>
    <t xml:space="preserve">Продление лицензий для устройства защиты почтового трафика </t>
  </si>
  <si>
    <t>Жаңа ұрпақтағы желі аралық экрандардың лицензияларын ұзарту</t>
  </si>
  <si>
    <t>Продление лицензий на межсетевые экраны нового поколения</t>
  </si>
  <si>
    <t>Juniper srx345-dual-ac желі аралық экрандарына арналған қосымша лицензиялар</t>
  </si>
  <si>
    <t>Дополнительные лицензии для межсетевых экранов Juniper srx345-dual-ac</t>
  </si>
  <si>
    <t>Қашықтан кіруге арналған БҚ лицензияларын ұзарту</t>
  </si>
  <si>
    <t>Продление лицензий ПО для удаленного доступа</t>
  </si>
  <si>
    <t>Әртүрлі құрылғылар мен браузерлерде сервистерді автоматтандырылған тестілеуге арналған құралдың (5 лицензия) жылдық қол жеткізуін сатып алу қызметі</t>
  </si>
  <si>
    <t>Приобретение годового доступа инструмента для автоматизированного тестирования сервисов на разных устройствах и браузерах (5 лицензий)</t>
  </si>
  <si>
    <t>Тестілеуді басқаруға арналған лицензияға жазылу, ол қолмен және автоматтандырылған тексерулерді, CI/CD интеграцияларын және бағдарламалық қамтамасыз ету сапасын арттыру үшін аналитиканы біріктіреді</t>
  </si>
  <si>
    <t xml:space="preserve">Подписка на лицензии для управления тестированием, объединяющая ручные и автоматизированные проверки, интеграции с CI/CD и аналитику для повышения качества ПО </t>
  </si>
  <si>
    <t>Командаларға қолайлы нұсқалар жүйесі мен қолжетімділікті басқаратын техникалық материалдарды жасауға, құрылымдауға және жариялауға мүмкіндік беретін құжаттамамен бірлесіп жұмыс істеу үшін лицензияларға жазылу қызметтері</t>
  </si>
  <si>
    <t>Подписка на лицензии для совместной работы над документацией, который позволяет командам создавать, структурировать и публиковать технические материалы с удобной системой версий и управлением доступом</t>
  </si>
  <si>
    <t>(PNG, SVG, EPS, PSD және басқа)  атрибуциясыз, іздеу мен жүктеудің кеңейтілген мүмкіндіктерімен  форматтардағы миллиондаған және жүз миллиондаған сапалы суреттерге, иллюстрацияларға және икондарға бірегей премиум қолжетімділікті қамтамасыз ететін  кешенді лицензияға жазылу</t>
  </si>
  <si>
    <t>Комплексная подписка на лицензий для единого премиального доступа к миллионам и сотням миллионов качественных изображений, иллюстраций и иконок в разнообразных форматах (PNG, SVG, EPS, PSD и др.), без необходимости атрибуции, с расширенными возможностями поиска и загрузок</t>
  </si>
  <si>
    <t>Осалдықтарды басқару жөніндегі БҚ жазылымын ұзарту</t>
  </si>
  <si>
    <t>Продление подписки на ПО по управлению уязвимостями</t>
  </si>
  <si>
    <t>Dr.Web Server Security Suite вирусқа қарсы БҚ жазылымын ұзарту</t>
  </si>
  <si>
    <t>Продление подписки на антивирусное ПО Dr.Web Server Security Suite</t>
  </si>
  <si>
    <t>OVS жазылымын ресімдеу</t>
  </si>
  <si>
    <t>Оформление подписки OVS</t>
  </si>
  <si>
    <t>Red Hat Linux жазылымын ресімдеу</t>
  </si>
  <si>
    <t>Оформление подписки Red Hat Linux</t>
  </si>
  <si>
    <t>Data Protector БҚ техникалық қолдауды ресімдеу</t>
  </si>
  <si>
    <t>Оформление технической поддержки ПО Data Protector</t>
  </si>
  <si>
    <t>DLP жүйесін пайдалану құқығына лицензиялар беру</t>
  </si>
  <si>
    <t>Предоставление лицензий на право использования программного обеспечения DLP системы</t>
  </si>
  <si>
    <t>VMWare БҚ жазылымын ресімдеу</t>
  </si>
  <si>
    <t>Оформление подписки на ПО VMWare</t>
  </si>
  <si>
    <t>ProForma: Forms &amp; Checklist for Jira Data Center кеңейту</t>
  </si>
  <si>
    <t xml:space="preserve">Подписка на расширение ProForma: Forms &amp; Checklist for Jira Data Center </t>
  </si>
  <si>
    <t>ScriptRunner for Jira Data Center кеңейту</t>
  </si>
  <si>
    <t>Расширение ScriptRunner for Jira Data Center</t>
  </si>
  <si>
    <t>Microsoft М365 гибридін құруға арналған жазылым</t>
  </si>
  <si>
    <t>Подписка для построения гибрида Microsoft 365</t>
  </si>
  <si>
    <t>Microsoft 365 БҚ (Copilot лицензиялары) толық жабдықтау</t>
  </si>
  <si>
    <t>Доукомплетование ПО Microsoft 365 (лицензии Copilot)</t>
  </si>
  <si>
    <t>Microsoft 365  БҚ (Business Basic лицензиялары) толық жабдықтау</t>
  </si>
  <si>
    <t>Доукомплетование ПО Microsoft 365 (лицензии Business Basic)</t>
  </si>
  <si>
    <t>Түпкілікті деректердің қауіпсіздігін қамтамасыз ету -FortiEDR БҚ жазылуды ұзарту</t>
  </si>
  <si>
    <t>Продление подписки на ПО FortiEDR - обеспечение безопасности конечных данных</t>
  </si>
  <si>
    <t>Бағдарламалық қамтамасыз етуді орнату/баптау бойынша қызметтер</t>
  </si>
  <si>
    <t>Услуги по установке/настройке программного обеспечения</t>
  </si>
  <si>
    <t>ITAM және конфигурацияны басқару дерекқорын құруға арналған шешімдері қызметтері</t>
  </si>
  <si>
    <t>ITAM и решение для построения базы данных управления конфигурацией</t>
  </si>
  <si>
    <t>Fudo PAM АЖ әкімшілері жұмысының аудит жүйесі БҚ  бойынша жазылымды ұзарту</t>
  </si>
  <si>
    <t>Продление подписки на ПО системы аудита работы администраторов ИС Fudo PAM</t>
  </si>
  <si>
    <t>Телекоммуникациялық қызмет көрсетулер</t>
  </si>
  <si>
    <t>Услуги телекоммуникационные</t>
  </si>
  <si>
    <t>Ақпараттық қауіпсіздік жедел орталығының қызметтері</t>
  </si>
  <si>
    <t>Услуги Оперативного центра информационной безопасности</t>
  </si>
  <si>
    <t>Қауіпсіздікті тестілеу (Continiuos Pentest) қызметтері</t>
  </si>
  <si>
    <t>Услуги тестирования защищенности (Continiuos Pentest)</t>
  </si>
  <si>
    <t>Виртуалды бөлінген серверді жалдау бойынша қызметтер (VPS)</t>
  </si>
  <si>
    <t>Услуги по аренде виртуального выделенного сервера (VPS)</t>
  </si>
  <si>
    <t>Виртуалды желіаралық экран қызметтері (Астана)</t>
  </si>
  <si>
    <t>Услуги виртуального межсетевого экрана (Астана)</t>
  </si>
  <si>
    <t>Виртуалды желіаралық экран қызметтері (Қосшы)</t>
  </si>
  <si>
    <t>Услуги виртуального межсетевого экрана (Косшы)</t>
  </si>
  <si>
    <t xml:space="preserve">Әкімшілік/өндірістік жайларды жалдау бойынша қызметтер </t>
  </si>
  <si>
    <t>Услуги по аренде административных/производственных помещений</t>
  </si>
  <si>
    <t>Тұрғын емес үй-жайларды жалға алу</t>
  </si>
  <si>
    <t>Аренда нежилых помещений</t>
  </si>
  <si>
    <t>Тұрғын емес үй-жайларды жалға алу Қосшы</t>
  </si>
  <si>
    <t>Аренда нежилых помещений Косшы</t>
  </si>
  <si>
    <t>(Астана) тіректері бар тұрғын емес үй-жайларды жалдау қызметтері</t>
  </si>
  <si>
    <t>Аренда нежилых помещений со стойками (Астана)</t>
  </si>
  <si>
    <t>Күзет қызметтері</t>
  </si>
  <si>
    <t>Услуги охраны</t>
  </si>
  <si>
    <t>Тұрғын емес үй-жайларды күзету</t>
  </si>
  <si>
    <t>Охрана нежилых помещений</t>
  </si>
  <si>
    <t>Дәрі қобдишасы</t>
  </si>
  <si>
    <t>Аптечка</t>
  </si>
  <si>
    <t>Көлік құралдары жүргізушілерін медициналық куәландыру қызметтері</t>
  </si>
  <si>
    <t>Услуги медицинского освидетельствования водителей транспортных средств</t>
  </si>
  <si>
    <t>Жүргізушілерді медициналық ауысым аралық/ауысымнан кейін тексеру</t>
  </si>
  <si>
    <t>Медицинское предсменное/послесменное обследование водителей</t>
  </si>
  <si>
    <t>Су</t>
  </si>
  <si>
    <t>Вода</t>
  </si>
  <si>
    <t>Ауыз су</t>
  </si>
  <si>
    <t>Питьевая вода</t>
  </si>
  <si>
    <t>Бутылка</t>
  </si>
  <si>
    <t>Ақпараттық ресурстарға қол жеткізу қызметі</t>
  </si>
  <si>
    <t>Услуги по предоставлению доступа к информационным ресурсам</t>
  </si>
  <si>
    <t>Ақпараттық ресурстарға қол жеткізудi ұсыну</t>
  </si>
  <si>
    <t>Предоставление доступа к информационным ресурсам</t>
  </si>
  <si>
    <t>Аудару қызметтері</t>
  </si>
  <si>
    <t>Услуги переводческие</t>
  </si>
  <si>
    <t>Аударма қызметтері</t>
  </si>
  <si>
    <t xml:space="preserve">Услуги перевода </t>
  </si>
  <si>
    <t>Услуги перевода для ЦОИД</t>
  </si>
  <si>
    <t>Ақпарат ұсыну бойынша қызмет көрсетулер</t>
  </si>
  <si>
    <t>Услуги по предоставлению информации</t>
  </si>
  <si>
    <t>Жұмыс іздеушілер дерекқорына қолжетімділікті ұсыну қызметтері</t>
  </si>
  <si>
    <t>Услуги по предоставлению доступа к базе данных соискателей работы</t>
  </si>
  <si>
    <t>Бос жұмыс орындарын орналастыруға қол жеткізуді ұсыну жөніндегі қызметтер</t>
  </si>
  <si>
    <t>Услуги по предоставлению доступа на размещение вакансий</t>
  </si>
  <si>
    <t>«ACTUALIS: Кадр ісі» электрондық жүйесіне жазылу</t>
  </si>
  <si>
    <t>Подписка на электронную систему "ACTUALIS: Кадровое дело"</t>
  </si>
  <si>
    <t>Конференцияларды/семинарларды/форумдарды/конкурстарды/корпоративтік/спорттық/мәдени/мерекелік және ұқсас іс-шараларды ұйымдастыру/өткізу бойынша қызметтер</t>
  </si>
  <si>
    <t>Услуги по организации/проведению конференций/семинаров/форумов/конкурсов/корпоративных/спортивных/культурных/праздничных и аналогичных мероприятий</t>
  </si>
  <si>
    <t>Команда құруға бағытталған тимбилдинг өткізу</t>
  </si>
  <si>
    <t>Проведение тимбилдинга, направленного на командообразование</t>
  </si>
  <si>
    <t>Контрагенттерді тексеру жөніндегі ақпараттық жүйеге қосу жөніндегі қызметтер</t>
  </si>
  <si>
    <t>Услуги по подключению к информационной системе по проверке контрагентов</t>
  </si>
  <si>
    <t>Жеке тұлғаларды (кандидаттарды) тексеру жөніндегі мамандандырылған ақпараттық жүйеге қосу жөніндегі қызметтер</t>
  </si>
  <si>
    <t>Услуги по подключению к специализированной информационной системе по проверке физических лиц (кандидатов)</t>
  </si>
  <si>
    <t>Тұрғын емес ғимараттарды ағымдағы жөндеу бойынша жұмыстар/құрылыстардың/үй-жайлардың</t>
  </si>
  <si>
    <t>Работы по текущему ремонту нежилых зданий/сооружений/помещений</t>
  </si>
  <si>
    <t xml:space="preserve">Тұрғын емес үй-жайларды ағымдағы жөндеу бойынша жұмыстары </t>
  </si>
  <si>
    <t>Работы по текущему ремонту нежилых помещений</t>
  </si>
  <si>
    <t>Қауіпсіз қалдықтар/мүлік/материалдарды шығару бойынша қызмет көрсетулер</t>
  </si>
  <si>
    <t>Услуги по удалению неопасных отходов/имущества/материалов</t>
  </si>
  <si>
    <t>Құжаттарды кәдеге жарату</t>
  </si>
  <si>
    <t>Утилизация документов</t>
  </si>
  <si>
    <t>Персоналдың/қызметкерлердің білімін/дайындық деңгейін аттестаттау/ бағалау және тексеру бойынша қызметтер</t>
  </si>
  <si>
    <t>Услуги по аттестации/оценке и проверке знаний/уровня подготовки персонала/ сотрудников</t>
  </si>
  <si>
    <t>Электр қауіпсіздігінің тобын растау</t>
  </si>
  <si>
    <t>Подтверждение группы электробезопасности</t>
  </si>
  <si>
    <t>Диагностикалау/сараптау/талдау/сынау/тестілеу/тексеріп қарау бойынша қызметтер</t>
  </si>
  <si>
    <t>Услуги по диагностированию /экспертизе/анализу/испытаниям/тестированию/осмотру</t>
  </si>
  <si>
    <t>НО, РО жабдықтарына профилақтикалық сынақтарды жүргізу</t>
  </si>
  <si>
    <t>Профилактические испытания оборудования в ОЦ, РЦ</t>
  </si>
  <si>
    <t>Газды өрт сөндіру жүйесіне арналған баллондарды қайта зарядтауға және қайта куәландыруға арналған қызметтер</t>
  </si>
  <si>
    <t>Услуги на перезарядку и переосвидетельствование баллонов для системы газового пожаротушения</t>
  </si>
  <si>
    <t>Мүлікті жою бойынша қызметтер</t>
  </si>
  <si>
    <t>Услуги по утилизации имущества</t>
  </si>
  <si>
    <t>Жабдықтарды кәдеге жарату</t>
  </si>
  <si>
    <t>Утилизация оборудования</t>
  </si>
  <si>
    <t>Басып шығару қызметінің қызмет көрсетулері</t>
  </si>
  <si>
    <t>Услуги сервиса печати</t>
  </si>
  <si>
    <t>3Д басып шығару қызметтері</t>
  </si>
  <si>
    <t>Услуги 3Д печати</t>
  </si>
  <si>
    <t>Типографиялық қызметтері</t>
  </si>
  <si>
    <t>Услуги типографии</t>
  </si>
  <si>
    <t>Ақпараттық және имидждік ілесу бойынша қызметтер</t>
  </si>
  <si>
    <t>Услуги по информационному и имиджевому сопровождению</t>
  </si>
  <si>
    <t>Графикалық дизайн қызметтері</t>
  </si>
  <si>
    <t>Услуги графического дизайна</t>
  </si>
  <si>
    <t>Бейнеролик-презентацияны әзірлеу қызметтері</t>
  </si>
  <si>
    <t>Услуги разработки видеоролика-презентации</t>
  </si>
  <si>
    <t>Деректі фильм түсіру бойынша қызметтері</t>
  </si>
  <si>
    <t xml:space="preserve">Услуги по съемке документального фильма </t>
  </si>
  <si>
    <t>Видеоматериалдарды (жарнама мен фильмдерден басқасы) өндірісі (дайындау) бойынша жұмыстар</t>
  </si>
  <si>
    <t>Работы по производству (изготовлению) видеоматериалов (кроме рекламы и фильмов)</t>
  </si>
  <si>
    <t>Бейнеролик  жасау</t>
  </si>
  <si>
    <t>Создание видеоролика</t>
  </si>
  <si>
    <t>SMM сүйемелдеу бойынша қызметтер</t>
  </si>
  <si>
    <t>Услуги по SMM сопровождению</t>
  </si>
  <si>
    <t>Медиа-сүйемелдеу бойынша қызметтер</t>
  </si>
  <si>
    <t>Услуги по медиа-сопровождению</t>
  </si>
  <si>
    <t>Ақпараттық-көрме конструкциясын жалдау бойынша қызметтер</t>
  </si>
  <si>
    <t>Услуги по аренде информационно-выставочных конструкций</t>
  </si>
  <si>
    <t>Көрме стендін жалға алу бойынша іс-шараларды ұйымдастыру қызметі</t>
  </si>
  <si>
    <t>Услуги по организации мероприятия по аренде выставочного стенда</t>
  </si>
  <si>
    <t>Жүргізушілерді ұсыну жөніндегі іс-шараларды ұйымдастыру қызметі</t>
  </si>
  <si>
    <t xml:space="preserve">Услуги организации мероприятия по предоставлению ведущих </t>
  </si>
  <si>
    <t>Аналитикалық, тұсаукесерлік, үлестірме материалдардың және басқа да көрнекі шешімдердің дизайны</t>
  </si>
  <si>
    <t>Дизайн аналитических, презентационных, раздаточных материалов и других визуальных решений</t>
  </si>
  <si>
    <t>Пуловер</t>
  </si>
  <si>
    <t>Demo-day қатысушыларына арналған свитшоттар</t>
  </si>
  <si>
    <t>Свитшоты для участников demo-day</t>
  </si>
  <si>
    <t>Жазбаға арналған қойын дәптер</t>
  </si>
  <si>
    <t>Блокнот для записей</t>
  </si>
  <si>
    <t>Demo-day қатысушыларына арналған кеңсе блокноттары</t>
  </si>
  <si>
    <t>Блокноты канцелярские для участников demo-day</t>
  </si>
  <si>
    <t>Demo-day қатысушыларына арналған шарикті кеңсе қаламдары</t>
  </si>
  <si>
    <t>Ручки шариковые канцелярские для участников demo-day</t>
  </si>
  <si>
    <t>Баннер</t>
  </si>
  <si>
    <t>Demo-day қатысушыларына арналған құрылымы бар баннер</t>
  </si>
  <si>
    <t>Баннер с конструкцией для участников demo-day</t>
  </si>
  <si>
    <t>Demo-day қатысушыларына арналған бейджиктері бар ланъярдтар</t>
  </si>
  <si>
    <t>Ланъярды с бейджиками для участников demo-day</t>
  </si>
  <si>
    <t>Визаларды, консульдық жинақты ресімдеу бойынша қызметтер</t>
  </si>
  <si>
    <t>Услуги по оформлению виз, консульский сбор</t>
  </si>
  <si>
    <t>Шығу визаларын (iскерлiк) ресімдеу</t>
  </si>
  <si>
    <t>Оформление выездных виз (деловая)</t>
  </si>
  <si>
    <t>Тақтай</t>
  </si>
  <si>
    <t>Доска</t>
  </si>
  <si>
    <t>100x150mm магниттік маркерлік қабырға тақтасы</t>
  </si>
  <si>
    <t>Доска магнитно-маркерная настенная 100х150мм</t>
  </si>
  <si>
    <t>Мөрқалып жастықшасы</t>
  </si>
  <si>
    <t>Подушка штемпельная</t>
  </si>
  <si>
    <t>Өлшемі 47х18мм  мөртабан</t>
  </si>
  <si>
    <t>Штамп размером 47х18мм</t>
  </si>
  <si>
    <t>Оптикалық жетек</t>
  </si>
  <si>
    <t>Привод оптический</t>
  </si>
  <si>
    <t>USB оптикалық жетегі</t>
  </si>
  <si>
    <t>Оптический привод USB</t>
  </si>
  <si>
    <t>Ақпаратты криптографиялық қорғау құралы</t>
  </si>
  <si>
    <t>Средство криптографической защиты информации</t>
  </si>
  <si>
    <t>Token қорғалған USB негізгі ақпарат тасымалдаушысы</t>
  </si>
  <si>
    <t>Защищенный USB носитель ключевой информации token</t>
  </si>
  <si>
    <t>Флеш жинаушы</t>
  </si>
  <si>
    <t>Флеш-накопитель</t>
  </si>
  <si>
    <t>64GB USB флэш жинақтаушысы</t>
  </si>
  <si>
    <t xml:space="preserve">USB Флэш накопители 64Gb </t>
  </si>
  <si>
    <t>Бетперде</t>
  </si>
  <si>
    <t>Маска</t>
  </si>
  <si>
    <t>Гиперреалистік 3Д бет маскасы</t>
  </si>
  <si>
    <t>Гиперреалистичная 3Д маска лица</t>
  </si>
  <si>
    <t>Диспенсер</t>
  </si>
  <si>
    <t>Су диспенсері</t>
  </si>
  <si>
    <t>Диспенсер для воды</t>
  </si>
  <si>
    <t>Шамшырақ</t>
  </si>
  <si>
    <t>Светильник</t>
  </si>
  <si>
    <t>Жарықдиодты жарықтандыру</t>
  </si>
  <si>
    <t>Светодиодное освещение</t>
  </si>
  <si>
    <t>Монитор</t>
  </si>
  <si>
    <t>1 типті монитор</t>
  </si>
  <si>
    <t>Монитор тип 1</t>
  </si>
  <si>
    <t>2 типті монитор</t>
  </si>
  <si>
    <t>Монитор тип 2</t>
  </si>
  <si>
    <t>Компьютер</t>
  </si>
  <si>
    <t>1 типті моноблок</t>
  </si>
  <si>
    <t>Моноблок тип 1</t>
  </si>
  <si>
    <t>2 типті моноблок</t>
  </si>
  <si>
    <t>Моноблок тип 2</t>
  </si>
  <si>
    <t>3 типті моноблок</t>
  </si>
  <si>
    <t>Моноблок тип 3</t>
  </si>
  <si>
    <t>Ноутбук</t>
  </si>
  <si>
    <t>1 типті ноутбук</t>
  </si>
  <si>
    <t>Ноутбук тип 1</t>
  </si>
  <si>
    <t>2 типті ноутбук</t>
  </si>
  <si>
    <t>Ноутбук тип 2</t>
  </si>
  <si>
    <t>Неттоп</t>
  </si>
  <si>
    <t>Портативті монитор</t>
  </si>
  <si>
    <t>Портативный монитор</t>
  </si>
  <si>
    <t>Жүйелі блок</t>
  </si>
  <si>
    <t>Блок системный</t>
  </si>
  <si>
    <t>Жүйелік блок</t>
  </si>
  <si>
    <t>Системный блок</t>
  </si>
  <si>
    <t>SFP трансивер қабылдағыш-жібергіш</t>
  </si>
  <si>
    <t>Приемопередатчик трансивер SFP</t>
  </si>
  <si>
    <t>SR 10Gb/25Gb адаптерлер</t>
  </si>
  <si>
    <t>Адаптеры 10Gb/25Gb SR</t>
  </si>
  <si>
    <t>RAM жедел жадының модулі</t>
  </si>
  <si>
    <t>Модуль оперативной памяти RAM</t>
  </si>
  <si>
    <t>Жедел жад модульдері </t>
  </si>
  <si>
    <t>Модули оперативной памяти</t>
  </si>
  <si>
    <t>Телефон аппараты</t>
  </si>
  <si>
    <t>Аппарат телефонный</t>
  </si>
  <si>
    <t xml:space="preserve">Камерасы бар Cisco IP-телефон </t>
  </si>
  <si>
    <t>IP-телефон Cisco с камерой</t>
  </si>
  <si>
    <t>Сервер</t>
  </si>
  <si>
    <t>ТКБЖ сервері</t>
  </si>
  <si>
    <t>Сервера МСПК</t>
  </si>
  <si>
    <t>Ішкі домен серверлері</t>
  </si>
  <si>
    <t>Сервера внутреннего домена</t>
  </si>
  <si>
    <t>Oracle сервері</t>
  </si>
  <si>
    <t>Сервера Oracle</t>
  </si>
  <si>
    <t xml:space="preserve">1 типті ЖИ сервері </t>
  </si>
  <si>
    <t>Сервера ИИ тип 1</t>
  </si>
  <si>
    <t>2 типті ЖИ сервері</t>
  </si>
  <si>
    <t>Сервера ИИ тип 2</t>
  </si>
  <si>
    <t>Дискті массив</t>
  </si>
  <si>
    <t>Массив дисковый</t>
  </si>
  <si>
    <t>Ақпараттық жүйелерге арналған деректерді сақтау жүйесіне жинақтауыштар</t>
  </si>
  <si>
    <t>Накопители к системе хранения данных для информационных систем</t>
  </si>
  <si>
    <t>Көп функциялық құрылғы</t>
  </si>
  <si>
    <t>Устройство многофункциональное</t>
  </si>
  <si>
    <t>Карта оқу құрылғысы A3 форматындағы  КФҚ</t>
  </si>
  <si>
    <t>МФУ формата А3 со считывателем карт</t>
  </si>
  <si>
    <t>Адаптер</t>
  </si>
  <si>
    <t>FC серверлер үшін адаптерлер</t>
  </si>
  <si>
    <t>FC адаптеры для серверов</t>
  </si>
  <si>
    <t>Қатты диск</t>
  </si>
  <si>
    <t>Диск жесткий</t>
  </si>
  <si>
    <t>Серверлерге арналған SSD-дискiлерi</t>
  </si>
  <si>
    <t>SSD-диски для серверов</t>
  </si>
  <si>
    <t>Мамандандырылған жүйе</t>
  </si>
  <si>
    <t>Система специализированная</t>
  </si>
  <si>
    <t>Конференц-зал жабдықтарын жаңғырту</t>
  </si>
  <si>
    <t xml:space="preserve">Модернизация оборудования конференц зала </t>
  </si>
  <si>
    <t>Желілік коммутатор</t>
  </si>
  <si>
    <t>Коммутатор сетевой</t>
  </si>
  <si>
    <t>Коммутатор түрi 1</t>
  </si>
  <si>
    <t>Коммутатор тип 1</t>
  </si>
  <si>
    <t>Коммутатор түрi 2</t>
  </si>
  <si>
    <t>Коммутатор тип 2</t>
  </si>
  <si>
    <t>Аккумулятор</t>
  </si>
  <si>
    <t>Аккумуляторлық батареялар (12В, 100А/сағ)</t>
  </si>
  <si>
    <t>Аккумуляторные батареи (12В, 100А/ч)</t>
  </si>
  <si>
    <t>Бағдарламалық қамтамасыз етуді жаңарту бойынша қызметтер</t>
  </si>
  <si>
    <t>Услуги по модификации программного обеспечения</t>
  </si>
  <si>
    <t>1С Предприятие БҚ дамыту</t>
  </si>
  <si>
    <t>Развитие ПО 1С Предприятие</t>
  </si>
  <si>
    <t>1С Предприятие БҚ дамыту (4 токсан)</t>
  </si>
  <si>
    <t>Развитие ПО 1С Предприятие (4 квартал)</t>
  </si>
  <si>
    <t>Сыртқы пайдаланушылардың өтініштерін басқару жүйесін дамыту</t>
  </si>
  <si>
    <t>Развитие системы управления обращения внешних пользователей</t>
  </si>
  <si>
    <t>ТЖ БҚ және БХАЖ БҚ дамыту</t>
  </si>
  <si>
    <t>Развитие ПО ПС  и ПО СОБС</t>
  </si>
  <si>
    <t>Оpen API бағдарламалық интерфейстері бойынша ақпарат алмасудың банкаралық жүйесін функционалдық пысықтау жөніндегі қызметтерi</t>
  </si>
  <si>
    <t>Услуги функциональной доработки Межбанковской системы обмена информацией по открытым программным интерфейсам Open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</si>
</sst>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0.0000000"/>
    <numFmt numFmtId="166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4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2" xfId="1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horizontal="center" wrapText="1"/>
    </xf>
    <xf numFmtId="49" fontId="1" fillId="0" borderId="10" xfId="0" applyNumberFormat="1" applyFont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4" fontId="1" fillId="0" borderId="10" xfId="0" applyNumberFormat="1" applyFont="1" applyBorder="1" applyAlignment="1">
      <alignment horizontal="center"/>
    </xf>
    <xf numFmtId="4" fontId="6" fillId="0" borderId="10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>
      <alignment horizontal="center" wrapText="1"/>
    </xf>
    <xf numFmtId="4" fontId="4" fillId="0" borderId="0" xfId="0" applyNumberFormat="1" applyFont="1"/>
    <xf numFmtId="4" fontId="3" fillId="0" borderId="0" xfId="0" applyNumberFormat="1" applyFont="1" applyAlignment="1">
      <alignment horizontal="center"/>
    </xf>
    <xf numFmtId="4" fontId="7" fillId="0" borderId="0" xfId="0" applyNumberFormat="1" applyFont="1"/>
    <xf numFmtId="49" fontId="1" fillId="0" borderId="11" xfId="0" applyNumberFormat="1" applyFont="1" applyBorder="1" applyAlignment="1">
      <alignment horizontal="left" wrapText="1"/>
    </xf>
    <xf numFmtId="0" fontId="1" fillId="0" borderId="10" xfId="0" applyFont="1" applyBorder="1" applyAlignment="1">
      <alignment wrapText="1"/>
    </xf>
    <xf numFmtId="49" fontId="1" fillId="0" borderId="12" xfId="0" applyNumberFormat="1" applyFont="1" applyBorder="1" applyAlignment="1">
      <alignment horizontal="left" wrapText="1"/>
    </xf>
    <xf numFmtId="49" fontId="1" fillId="3" borderId="10" xfId="0" applyNumberFormat="1" applyFont="1" applyFill="1" applyBorder="1" applyAlignment="1">
      <alignment horizontal="left" wrapText="1"/>
    </xf>
    <xf numFmtId="4" fontId="1" fillId="4" borderId="10" xfId="0" applyNumberFormat="1" applyFont="1" applyFill="1" applyBorder="1" applyAlignment="1">
      <alignment horizontal="center"/>
    </xf>
    <xf numFmtId="4" fontId="8" fillId="0" borderId="0" xfId="0" applyNumberFormat="1" applyFont="1"/>
    <xf numFmtId="0" fontId="8" fillId="0" borderId="0" xfId="0" applyFont="1"/>
    <xf numFmtId="49" fontId="1" fillId="2" borderId="10" xfId="0" applyNumberFormat="1" applyFont="1" applyFill="1" applyBorder="1" applyAlignment="1">
      <alignment horizontal="center"/>
    </xf>
    <xf numFmtId="4" fontId="3" fillId="0" borderId="0" xfId="0" applyNumberFormat="1" applyFont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wrapText="1"/>
    </xf>
    <xf numFmtId="4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0" borderId="0" xfId="0" applyFont="1"/>
    <xf numFmtId="4" fontId="11" fillId="0" borderId="10" xfId="0" applyNumberFormat="1" applyFont="1" applyBorder="1" applyAlignment="1" applyProtection="1">
      <alignment horizontal="center"/>
      <protection hidden="1"/>
    </xf>
    <xf numFmtId="4" fontId="1" fillId="0" borderId="11" xfId="0" applyNumberFormat="1" applyFont="1" applyBorder="1" applyAlignment="1">
      <alignment horizontal="center"/>
    </xf>
    <xf numFmtId="4" fontId="9" fillId="4" borderId="10" xfId="0" applyNumberFormat="1" applyFont="1" applyFill="1" applyBorder="1" applyAlignment="1">
      <alignment horizontal="center"/>
    </xf>
    <xf numFmtId="49" fontId="1" fillId="0" borderId="10" xfId="0" applyNumberFormat="1" applyFont="1" applyBorder="1" applyAlignment="1">
      <alignment horizontal="center" wrapText="1"/>
    </xf>
    <xf numFmtId="49" fontId="1" fillId="0" borderId="10" xfId="2" applyNumberFormat="1" applyFont="1" applyBorder="1" applyAlignment="1" applyProtection="1">
      <alignment horizontal="left" wrapText="1"/>
      <protection locked="0"/>
    </xf>
    <xf numFmtId="4" fontId="13" fillId="0" borderId="0" xfId="0" applyNumberFormat="1" applyFont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14" fillId="0" borderId="0" xfId="0" applyNumberFormat="1" applyFont="1" applyAlignment="1">
      <alignment horizontal="center"/>
    </xf>
    <xf numFmtId="4" fontId="15" fillId="0" borderId="0" xfId="0" applyNumberFormat="1" applyFont="1"/>
    <xf numFmtId="49" fontId="1" fillId="5" borderId="10" xfId="0" applyNumberFormat="1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49" fontId="1" fillId="5" borderId="11" xfId="0" applyNumberFormat="1" applyFont="1" applyFill="1" applyBorder="1" applyAlignment="1">
      <alignment horizontal="center" wrapText="1"/>
    </xf>
    <xf numFmtId="0" fontId="1" fillId="5" borderId="11" xfId="0" applyFont="1" applyFill="1" applyBorder="1" applyAlignment="1">
      <alignment horizontal="center" wrapText="1"/>
    </xf>
    <xf numFmtId="49" fontId="1" fillId="5" borderId="10" xfId="0" applyNumberFormat="1" applyFont="1" applyFill="1" applyBorder="1" applyAlignment="1">
      <alignment horizontal="center"/>
    </xf>
    <xf numFmtId="4" fontId="1" fillId="0" borderId="0" xfId="0" applyNumberFormat="1" applyFont="1" applyFill="1"/>
    <xf numFmtId="0" fontId="0" fillId="0" borderId="0" xfId="0" applyFill="1"/>
    <xf numFmtId="49" fontId="1" fillId="0" borderId="0" xfId="0" applyNumberFormat="1" applyFont="1" applyAlignment="1">
      <alignment horizontal="left" wrapText="1"/>
    </xf>
    <xf numFmtId="4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5" borderId="3" xfId="1" applyNumberFormat="1" applyFont="1" applyFill="1" applyBorder="1" applyAlignment="1">
      <alignment horizontal="center" vertical="center" wrapText="1"/>
    </xf>
    <xf numFmtId="49" fontId="3" fillId="5" borderId="6" xfId="1" applyNumberFormat="1" applyFont="1" applyFill="1" applyBorder="1" applyAlignment="1">
      <alignment horizontal="center" vertical="center" wrapText="1"/>
    </xf>
    <xf numFmtId="1" fontId="3" fillId="5" borderId="4" xfId="1" applyNumberFormat="1" applyFont="1" applyFill="1" applyBorder="1" applyAlignment="1">
      <alignment horizontal="center" vertical="center" wrapText="1"/>
    </xf>
    <xf numFmtId="1" fontId="3" fillId="5" borderId="7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3" fillId="5" borderId="2" xfId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 applyProtection="1">
      <alignment horizontal="center" vertical="center" wrapText="1"/>
      <protection hidden="1"/>
    </xf>
    <xf numFmtId="0" fontId="3" fillId="5" borderId="6" xfId="1" applyFont="1" applyFill="1" applyBorder="1" applyAlignment="1" applyProtection="1">
      <alignment horizontal="center" vertical="center" wrapText="1"/>
      <protection hidden="1"/>
    </xf>
    <xf numFmtId="0" fontId="3" fillId="5" borderId="3" xfId="1" applyFont="1" applyFill="1" applyBorder="1" applyAlignment="1" applyProtection="1">
      <alignment horizontal="center" vertical="center" wrapText="1"/>
      <protection locked="0"/>
    </xf>
    <xf numFmtId="0" fontId="3" fillId="5" borderId="6" xfId="1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 xr:uid="{3C804AFB-C05E-401E-990A-CE05FEAAB3BC}"/>
    <cellStyle name="Обычный 3 2" xfId="2" xr:uid="{57011872-F730-4A7A-96F0-7888F162E0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lmagambetova.b/Desktop/&#1050;&#1086;&#1088;&#1088;&#1077;&#1082;&#1090;&#1080;&#1088;&#1086;&#1074;&#1082;&#1080;%202025/&#1050;&#1086;&#1088;&#1088;&#1077;&#1082;&#1090;&#1080;&#1088;&#1086;&#1074;&#1082;&#1072;%20&#1055;&#1047;%20&#1080;%20&#1041;&#1053;&#1055;&#1047;/13.%20&#1053;&#1086;&#1103;&#1073;&#1088;&#1100;/13.%20&#1055;&#1083;&#1072;&#1085;%20&#1079;&#1072;&#1082;&#1091;&#1087;&#1086;&#1082;%20&#1058;&#1056;&#1059;%202025%20&#1075;&#1086;&#107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1;&#1102;&#1076;&#1078;&#1077;&#1090;&#1099;\&#1073;&#1102;&#1076;&#1078;&#1077;&#1090;%202011%20&#1075;&#1086;&#1076;\&#1055;&#1055;%20&#1086;&#1090;%2029.12.10%20&#8470;%20258\&#1084;&#1072;&#1090;&#1077;&#1088;&#1080;&#1072;&#1083;&#1099;%20&#1085;&#1072;%20&#1057;&#1044;\&#1055;&#1083;&#1072;&#1085;%20&#1076;&#1086;&#1093;&#1086;&#1076;&#1086;&#1074;%20&#1080;%20&#1088;&#1072;&#1089;&#1093;&#1086;&#1076;&#1086;&#1074;%202011(&#1059;&#1090;&#1077;&#1075;&#1091;&#1083;&#1086;&#1074;&#1091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&#1055;&#1055;%202012\&#1055;&#1055;%20&#1086;&#1090;%2020.12.2012%20&#8470;%20275\&#1055;&#1088;&#1080;&#1083;&#1086;&#1078;&#1077;&#1085;&#1080;&#1077;%20&#8470;%2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M\Users$\Documents\&#1044;&#1086;&#1082;&#1091;&#1084;&#1077;&#1085;&#1090;&#1099;%20&#1054;&#1083;&#1077;&#1081;&#1085;&#1080;&#1082;\&#1073;-&#1087;&#1083;\&#1082;&#1086;&#1087;&#1080;&#1103;%20&#1089;%20&#1092;&#1083;&#1101;&#1096;&#1082;&#1080;\buisness%202021\b-p%20202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UF-FO\&#1040;&#1054;\&#1040;&#1054;%202025\&#1055;&#1083;&#1072;&#1085;%20&#1088;&#1072;&#1079;&#1074;&#1080;&#1090;&#1080;&#1103;%202025\&#1042;&#1077;&#1088;&#1089;&#1080;&#1103;%204\&#1040;&#1054;%20&#1055;&#1056;%202025_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20%2001%2012&#1075;%20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/Users/Aisulu/AppData/Local/Microsoft/Windows/Temporary%20Internet%20Files/Content.Outlook/OULWSY85/Users/irina/AppData/Local/Microsoft/Windows/Temporary%20Internet%20Files/Content.Outlook/XX0F3KF4/&#1064;&#1072;&#1073;&#1083;&#1086;&#1085;%20&#1087;&#1083;&#1072;&#1085;&#1072;%20&#1043;&#1047;_ru_v47_2013-2014%20&#1075;&#1086;&#1076;.xls?95983C00" TargetMode="External"/><Relationship Id="rId1" Type="http://schemas.openxmlformats.org/officeDocument/2006/relationships/externalLinkPath" Target="file:///\\95983C00\&#1064;&#1072;&#1073;&#1083;&#1086;&#1085;%20&#1087;&#1083;&#1072;&#1085;&#1072;%20&#1043;&#1047;_ru_v47_2013-2014%20&#1075;&#1086;&#107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monova.F/Desktop/&#1056;&#1072;&#1079;&#1073;&#1080;&#1074;&#1082;&#1072;%20&#1082;&#1083;&#1080;&#1077;&#1085;&#1090;&#1086;&#1074;%20&#1087;&#1086;%20&#1091;&#1073;&#1099;&#1074;&#1072;&#1085;&#1080;&#1102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&#1086;&#1090;&#1095;&#1077;&#1090;&#1099;\2012\&#1055;&#1043;&#1047;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_Doc\My_Doc\&#1041;&#1048;&#1047;&#1053;&#1045;&#1057;&#1055;&#1051;&#1040;&#1053;%202009\b-p2009%202003%20en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monova.F/Desktop/&#1054;&#1090;&#1095;&#1077;&#1090;&#1099;/&#1045;&#1078;&#1077;&#1084;&#1077;&#1089;&#1103;&#1095;&#1085;&#1099;&#1081;%20&#1054;&#1090;&#1095;&#1077;&#1090;%20&#1089;&#1090;&#1072;&#1090;&#1080;&#1089;&#1090;&#1080;&#1082;&#1072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monova.F/Desktop/&#1057;&#1090;&#1072;&#1090;&#1080;&#1089;&#1090;&#1080;&#1082;&#1072;%20&#1087;&#1086;%20FinID%20&#1080;%20&#1054;&#1069;&#1062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.5\ou\&#1060;&#1044;\&#1054;&#1069;&#1060;\&#1040;&#1054;\&#1040;&#1054;%202026\&#1057;&#1084;&#1077;&#1090;&#1072;%202026\&#1040;&#1054;%20&#1055;&#1056;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\&#1044;&#1086;&#1082;&#1091;&#1084;&#1077;&#1085;&#1090;&#1099;%20&#1054;&#1083;&#1077;&#1081;&#1085;&#1080;&#1082;\&#1073;-&#1087;&#1083;\&#1082;&#1086;&#1087;&#1080;&#1103;%20&#1089;%20&#1092;&#1083;&#1101;&#1096;&#1082;&#1080;\buisness2023\&#1082;&#1086;&#1088;&#1088;&#1077;&#1082;&#1090;&#1080;&#1088;&#1086;&#1074;&#1082;&#1072;\&#1040;&#1054;%20&#1053;&#1055;&#1050;\&#1087;&#1086;&#1089;&#1083;&#1077;%20&#1053;&#1041;\&#1055;&#1083;&#1072;&#1085;%20&#1088;&#1072;&#1079;&#1074;&#1080;&#1090;&#1080;&#1103;%20&#1086;&#1082;&#1090;&#1103;&#1073;&#1088;&#1100;\&#1085;&#1072;%20&#1091;&#1090;&#1074;&#1077;&#1088;&#1078;&#1076;&#1077;&#1085;&#1080;&#1077;\4_%20&#1087;&#1088;&#1080;&#1083;&#1086;&#1078;&#1077;&#1085;&#1080;&#1077;%201%20&#1082;%20&#1055;&#1057;&#1044;%20&#1082;&#1086;&#1088;&#1088;&#1077;&#1082;&#1090;&#1080;&#1088;&#1086;&#1074;&#1082;&#1072;%20&#1073;&#1087;%202023%20&#1040;&#1054;%2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2013%20&#1075;\&#1055;&#1055;%20&#1041;&#1102;&#1076;&#1078;&#1077;&#1090;\&#1055;&#1055;%20113%20&#1086;&#1090;%2027.06.13%20&#1082;&#1086;&#1088;\&#1055;&#1088;&#1080;&#1083;&#1086;&#1078;&#1077;&#1085;&#1080;&#1077;%20&#8470;000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4;&#1086;&#1082;&#1091;&#1084;&#1077;&#1085;&#1090;&#1099;1\&#1045;&#1083;&#1077;&#1085;&#1072;\2012\&#1089;&#1074;&#1086;&#1076;%20&#1048;&#1055;%2027.09.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DOCUME~1\usa\LOCALS~1\Temp\notesFFF692\!!!&#1054;&#1082;&#1086;&#1085;&#1095;.&#1048;&#1085;&#1074;&#1077;&#1089;&#1090;&#1087;&#1083;&#1072;&#1085;%2024.10.2012_&#1089;%20&#1087;&#1088;&#1072;&#1074;&#1082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План закупок ТРУ"/>
      <sheetName val="выписка"/>
      <sheetName val="БНПЗ (1)"/>
      <sheetName val="бюджет (1)"/>
      <sheetName val="Проверка по корр ПЗ, БНПЗ, бюдж"/>
      <sheetName val="бюджет (2)"/>
      <sheetName val="подразделения"/>
      <sheetName val="смета расходов"/>
      <sheetName val="БНПЗ"/>
      <sheetName val="Бюджет"/>
      <sheetName val="смета 2025"/>
      <sheetName val="план кап расходов"/>
      <sheetName val="ФинПлан-"/>
      <sheetName val="смета расходов (01.07.2025)"/>
      <sheetName val="Аренда"/>
      <sheetName val="биометрия-Liveness"/>
      <sheetName val="Алльянс-Факторс"/>
      <sheetName val="авиабилеты2025"/>
      <sheetName val="SWIFT Master"/>
      <sheetName val="mastercard"/>
      <sheetName val="доступ к Swift"/>
      <sheetName val="Лист2"/>
      <sheetName val="Лист1"/>
      <sheetName val="Смета"/>
    </sheetNames>
    <sheetDataSet>
      <sheetData sheetId="0"/>
      <sheetData sheetId="1"/>
      <sheetData sheetId="2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Аукцион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доходов и расходов"/>
      <sheetName val="Инвестплан 2011"/>
      <sheetName val="бюджет"/>
      <sheetName val="План дох и расх (сокращ)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259712</v>
          </cell>
        </row>
        <row r="7">
          <cell r="B7" t="str">
            <v>Сводный бюджет 2011 год, v.01</v>
          </cell>
          <cell r="C7" t="str">
            <v>04.09.2010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C6" t="str">
            <v>09, Корректировка 2012 г (2012 год), На утверждении (на Бюджетной Комиссии)</v>
          </cell>
          <cell r="K6" t="str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 к Прил 1 Виза"/>
      <sheetName val="Таб 7 к Прил 1 ЦОИД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т"/>
      <sheetName val="Таб 2 к Прил 5 ТЭО"/>
      <sheetName val="Прил 6 смета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8 движ-е денег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2 к Прил 10 З-плата2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 1 к Прил 20 подг кадр"/>
      <sheetName val="Прил 21 команд"/>
      <sheetName val="Табл 1 к Прил 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исп финплан (по кальк)"/>
      <sheetName val="исп финплан свод"/>
      <sheetName val="Прил 5 план кап расходов (2)"/>
      <sheetName val="кальк2"/>
      <sheetName val="исп отд"/>
      <sheetName val="кальк распеч"/>
      <sheetName val="производственный план"/>
      <sheetName val="движение денег"/>
      <sheetName val="1 кв План"/>
      <sheetName val="1 кв Факт"/>
      <sheetName val="Табл 1 к прил 20 подг кадр 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1">
          <cell r="G11">
            <v>161385</v>
          </cell>
        </row>
        <row r="15">
          <cell r="G15">
            <v>148155</v>
          </cell>
        </row>
        <row r="18">
          <cell r="G18">
            <v>136500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з-плата1"/>
      <sheetName val="исп.см.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2.2 ОтклОТМ"/>
      <sheetName val="1.3.2 ОТМ"/>
      <sheetName val="Предпр"/>
      <sheetName val="ЦентрЗатр"/>
      <sheetName val="ЕдИзм"/>
      <sheetName val="Вид предмета"/>
      <sheetName val="КПВЭД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свод аморт. для кал-й"/>
      <sheetName val="Калькуляция распред по доход пр"/>
      <sheetName val="1 ФОТ"/>
      <sheetName val="Финплан "/>
      <sheetName val="Отчет по исп. Финплана"/>
      <sheetName val="смета расходов"/>
      <sheetName val="План производства"/>
      <sheetName val="Кап расходы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Сервис сопоставления"/>
      <sheetName val="Сервис FinID 1 вариант "/>
      <sheetName val="FinID Для НБ- Гос Организаций"/>
      <sheetName val="ЦОИД"/>
      <sheetName val="OpenAPI"/>
      <sheetName val="Антифрод центр"/>
      <sheetName val=" МСПК"/>
      <sheetName val="VISA Mastercard UnionPay"/>
      <sheetName val="СПБС"/>
      <sheetName val="Price Tracker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5"/>
      <sheetName val="План ЦКО 2025"/>
      <sheetName val="9_связь"/>
      <sheetName val="10_транспортные услуги"/>
      <sheetName val="11_спецуслуги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смета 2025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ЦелиЗадачи3"/>
    </sheetNames>
    <sheetDataSet>
      <sheetData sheetId="0" refreshError="1">
        <row r="2">
          <cell r="B2">
            <v>1.0649999999999999</v>
          </cell>
        </row>
        <row r="5">
          <cell r="B5">
            <v>5.47</v>
          </cell>
        </row>
        <row r="6">
          <cell r="B6">
            <v>3932</v>
          </cell>
        </row>
        <row r="8">
          <cell r="B8">
            <v>1.1200000000000001</v>
          </cell>
        </row>
        <row r="9">
          <cell r="B9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9"/>
      <sheetName val="Лист8"/>
      <sheetName val="Лист7"/>
      <sheetName val="Лист2"/>
      <sheetName val="март25"/>
      <sheetName val="Лист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5">
        <row r="1">
          <cell r="A1" t="str">
            <v>Наименование пользователя</v>
          </cell>
        </row>
      </sheetData>
      <sheetData sheetId="6"/>
      <sheetData sheetId="7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31187</v>
          </cell>
          <cell r="C2">
            <v>170935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889181</v>
          </cell>
          <cell r="C5">
            <v>69044498</v>
          </cell>
        </row>
        <row r="6">
          <cell r="A6" t="str">
            <v>АО "Фридом Банк Казахстан"</v>
          </cell>
          <cell r="B6">
            <v>593796</v>
          </cell>
          <cell r="C6">
            <v>46752240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132053</v>
          </cell>
          <cell r="C8">
            <v>26227330</v>
          </cell>
        </row>
        <row r="9">
          <cell r="A9" t="str">
            <v>АО "Kaspi Bank"</v>
          </cell>
          <cell r="B9">
            <v>40326</v>
          </cell>
          <cell r="C9">
            <v>13434504</v>
          </cell>
        </row>
        <row r="10">
          <cell r="A10" t="str">
            <v>АО "Bank RBK"</v>
          </cell>
          <cell r="B10">
            <v>54061</v>
          </cell>
          <cell r="C10">
            <v>4858858</v>
          </cell>
        </row>
        <row r="11">
          <cell r="A11" t="str">
            <v>АО "Нурбанк"</v>
          </cell>
          <cell r="B11">
            <v>16469</v>
          </cell>
          <cell r="C11">
            <v>2618592</v>
          </cell>
        </row>
        <row r="12">
          <cell r="A12" t="str">
            <v>АО "Банк ЦентрКредит"</v>
          </cell>
          <cell r="B12">
            <v>294389</v>
          </cell>
          <cell r="C12">
            <v>36044150</v>
          </cell>
        </row>
        <row r="13">
          <cell r="A13" t="str">
            <v>АО "Home Credit Bank"</v>
          </cell>
          <cell r="B13">
            <v>68321</v>
          </cell>
          <cell r="C13">
            <v>10613267</v>
          </cell>
        </row>
        <row r="14">
          <cell r="A14" t="str">
            <v>АО "Bereke Bank"</v>
          </cell>
          <cell r="B14">
            <v>166909</v>
          </cell>
          <cell r="C14">
            <v>27034024</v>
          </cell>
        </row>
        <row r="15">
          <cell r="A15" t="str">
            <v>АО "Евразийский Банк"</v>
          </cell>
          <cell r="B15">
            <v>109801</v>
          </cell>
          <cell r="C15">
            <v>7306386</v>
          </cell>
        </row>
        <row r="16">
          <cell r="A16" t="str">
            <v>АО "Altyn Bank" (ДБ China Citic Bank Corporation Ltd)</v>
          </cell>
          <cell r="B16">
            <v>15791</v>
          </cell>
          <cell r="C16">
            <v>5515070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202272</v>
          </cell>
          <cell r="C17">
            <v>13504384</v>
          </cell>
        </row>
        <row r="18">
          <cell r="A18" t="str">
            <v>АО "First Heartland Jusan Bank"</v>
          </cell>
          <cell r="B18">
            <v>173086</v>
          </cell>
          <cell r="C18">
            <v>24334170</v>
          </cell>
        </row>
        <row r="19">
          <cell r="A19" t="str">
            <v>ТОО "QIWI Kazakhstan" (КИВИ Казахстан)</v>
          </cell>
          <cell r="B19">
            <v>1807</v>
          </cell>
          <cell r="C19">
            <v>63245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83645</v>
          </cell>
          <cell r="C21">
            <v>2927575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68892</v>
          </cell>
          <cell r="C26">
            <v>2066760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28247</v>
          </cell>
          <cell r="C27">
            <v>621542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16820</v>
          </cell>
          <cell r="C31">
            <v>538230</v>
          </cell>
        </row>
        <row r="32">
          <cell r="A32" t="str">
            <v>ТОО "S1LK PAY KAZAKHSTAN"</v>
          </cell>
          <cell r="B32">
            <v>282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2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169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27821</v>
          </cell>
          <cell r="C38">
            <v>1371520</v>
          </cell>
        </row>
        <row r="39">
          <cell r="A39" t="str">
            <v>ТОО "МФО" ФинтехФинанс"</v>
          </cell>
          <cell r="B39">
            <v>66007</v>
          </cell>
          <cell r="C39">
            <v>2310245</v>
          </cell>
        </row>
        <row r="40">
          <cell r="A40" t="str">
            <v>ТОО "МФО"Деньги говорят"</v>
          </cell>
          <cell r="B40">
            <v>0</v>
          </cell>
          <cell r="C40">
            <v>15000</v>
          </cell>
        </row>
        <row r="41">
          <cell r="A41" t="str">
            <v>АО "МФО" ОнлайнКазФинанс"</v>
          </cell>
          <cell r="B41">
            <v>24798</v>
          </cell>
          <cell r="C41">
            <v>867930</v>
          </cell>
        </row>
        <row r="42">
          <cell r="A42" t="str">
            <v>ТОО "МФО "Тойота Файнаншл Сервисез Казахстан"</v>
          </cell>
          <cell r="B42">
            <v>3157</v>
          </cell>
          <cell r="C42">
            <v>157850</v>
          </cell>
        </row>
        <row r="43">
          <cell r="A43" t="str">
            <v>ТОО "МФО "Kredit Seven Kazakhstan (Кредит Севен Казахстан)"</v>
          </cell>
          <cell r="B43">
            <v>27781</v>
          </cell>
          <cell r="C43">
            <v>972305</v>
          </cell>
        </row>
        <row r="44">
          <cell r="A44" t="str">
            <v>ТОО "МФО "Credit365 Kazakhstan" (Кредит 365 Казахстан)"</v>
          </cell>
          <cell r="B44">
            <v>96611</v>
          </cell>
          <cell r="C44">
            <v>3381385</v>
          </cell>
        </row>
        <row r="45">
          <cell r="A45" t="str">
            <v>ТОО "МФО аФинанс"</v>
          </cell>
          <cell r="B45">
            <v>11433</v>
          </cell>
          <cell r="C45">
            <v>260951</v>
          </cell>
        </row>
        <row r="46">
          <cell r="A46" t="str">
            <v>ТОО "МФО "СиСиЛоун.кз"</v>
          </cell>
          <cell r="B46">
            <v>9861</v>
          </cell>
          <cell r="C46">
            <v>345135</v>
          </cell>
        </row>
        <row r="47">
          <cell r="A47" t="str">
            <v>ТОО "МФО "Akshabar"</v>
          </cell>
          <cell r="B47">
            <v>0</v>
          </cell>
          <cell r="C47">
            <v>15000</v>
          </cell>
        </row>
        <row r="48">
          <cell r="A48" t="str">
            <v>ТОО "МФО "Робокэш.кз"</v>
          </cell>
          <cell r="B48">
            <v>96433</v>
          </cell>
          <cell r="C48">
            <v>3375155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72117</v>
          </cell>
          <cell r="C50">
            <v>2163510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0</v>
          </cell>
          <cell r="C52">
            <v>15000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3</v>
          </cell>
          <cell r="C54">
            <v>15000</v>
          </cell>
        </row>
        <row r="55">
          <cell r="A55" t="str">
            <v>ТОО МФО "Qanat finance"</v>
          </cell>
          <cell r="B55">
            <v>11917</v>
          </cell>
          <cell r="C55">
            <v>262174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45307</v>
          </cell>
          <cell r="C57">
            <v>1585745</v>
          </cell>
        </row>
        <row r="58">
          <cell r="A58" t="str">
            <v>ТОО "МФО "Вивус"</v>
          </cell>
          <cell r="B58">
            <v>23698</v>
          </cell>
          <cell r="C58">
            <v>757876</v>
          </cell>
        </row>
        <row r="59">
          <cell r="A59" t="str">
            <v>ТОО "MyCar Group"</v>
          </cell>
          <cell r="B59">
            <v>898</v>
          </cell>
          <cell r="C59">
            <v>31430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61129</v>
          </cell>
          <cell r="C61">
            <v>2139515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214</v>
          </cell>
          <cell r="C63">
            <v>15000</v>
          </cell>
        </row>
        <row r="64">
          <cell r="A64" t="str">
            <v>ТОО "МФО "Шинхан Финанс"</v>
          </cell>
          <cell r="B64">
            <v>969</v>
          </cell>
          <cell r="C64">
            <v>31008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1418</v>
          </cell>
          <cell r="C67">
            <v>82244</v>
          </cell>
        </row>
        <row r="68">
          <cell r="A68" t="str">
            <v>ТОО МФО «Юникредо»</v>
          </cell>
          <cell r="B68">
            <v>5023</v>
          </cell>
          <cell r="C68">
            <v>290667</v>
          </cell>
        </row>
        <row r="69">
          <cell r="A69" t="str">
            <v>ТОО "МФО "PROcredit"</v>
          </cell>
          <cell r="B69">
            <v>67147</v>
          </cell>
          <cell r="C69">
            <v>2350145</v>
          </cell>
        </row>
        <row r="70">
          <cell r="A70" t="str">
            <v>ТОО "МФО "MFO№1"</v>
          </cell>
          <cell r="B70">
            <v>18983</v>
          </cell>
          <cell r="C70">
            <v>664405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9299</v>
          </cell>
          <cell r="C72">
            <v>220737</v>
          </cell>
        </row>
        <row r="73">
          <cell r="A73" t="str">
            <v>ТОО "МФО Legal Money"</v>
          </cell>
          <cell r="B73">
            <v>14952</v>
          </cell>
          <cell r="C73">
            <v>747600</v>
          </cell>
        </row>
        <row r="74">
          <cell r="A74" t="str">
            <v>ТОО «МФО Keremet aqsha»</v>
          </cell>
          <cell r="B74">
            <v>1298</v>
          </cell>
          <cell r="C74">
            <v>45430</v>
          </cell>
        </row>
        <row r="75">
          <cell r="A75" t="str">
            <v>ТОО «МФО CreditNova»</v>
          </cell>
          <cell r="B75">
            <v>12488</v>
          </cell>
          <cell r="C75">
            <v>624400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506</v>
          </cell>
          <cell r="C77">
            <v>17710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278</v>
          </cell>
          <cell r="C79">
            <v>15000</v>
          </cell>
        </row>
        <row r="80">
          <cell r="A80" t="str">
            <v>ТОО «МФО CASHDRIVE.KZ»</v>
          </cell>
          <cell r="B80">
            <v>65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33780</v>
          </cell>
          <cell r="C82">
            <v>1182300</v>
          </cell>
        </row>
        <row r="83">
          <cell r="A83" t="str">
            <v>ТОО МФО "SwF"</v>
          </cell>
          <cell r="B83">
            <v>16597</v>
          </cell>
          <cell r="C83">
            <v>580840</v>
          </cell>
        </row>
        <row r="84">
          <cell r="A84" t="str">
            <v>ТОО "МФО Сенім Credit"</v>
          </cell>
          <cell r="B84">
            <v>0</v>
          </cell>
          <cell r="C84">
            <v>15000</v>
          </cell>
        </row>
        <row r="85">
          <cell r="A85" t="str">
            <v>ТОО «МФО «Бизнес займ»</v>
          </cell>
          <cell r="B85">
            <v>9621</v>
          </cell>
          <cell r="C85">
            <v>336735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ECKZ»</v>
          </cell>
          <cell r="B87">
            <v>0</v>
          </cell>
          <cell r="C87">
            <v>15000</v>
          </cell>
        </row>
        <row r="88">
          <cell r="A88" t="str">
            <v>ТОО «МФО DEM FINANCE»</v>
          </cell>
          <cell r="B88">
            <v>211</v>
          </cell>
          <cell r="C88">
            <v>15000</v>
          </cell>
        </row>
        <row r="89">
          <cell r="A89" t="str">
            <v>ТОО «МФО «MyCar Finance»</v>
          </cell>
          <cell r="B89">
            <v>8300</v>
          </cell>
          <cell r="C89">
            <v>290500</v>
          </cell>
        </row>
        <row r="90">
          <cell r="A90" t="str">
            <v>ТОО "Birinshi Lombard" (Бірінші Ломбард)</v>
          </cell>
          <cell r="B90">
            <v>30</v>
          </cell>
          <cell r="C90">
            <v>15000</v>
          </cell>
        </row>
        <row r="91">
          <cell r="A91" t="str">
            <v>ТОО «МФО AlaFin»</v>
          </cell>
          <cell r="B91">
            <v>0</v>
          </cell>
          <cell r="C91">
            <v>15000</v>
          </cell>
        </row>
        <row r="92">
          <cell r="A92" t="str">
            <v>АО "Фридом Финанс"</v>
          </cell>
          <cell r="B92">
            <v>1655</v>
          </cell>
          <cell r="C92">
            <v>76770</v>
          </cell>
        </row>
        <row r="93">
          <cell r="A93" t="str">
            <v>АО "SkyBridge Invest"</v>
          </cell>
          <cell r="B93">
            <v>24</v>
          </cell>
          <cell r="C93">
            <v>15000</v>
          </cell>
        </row>
        <row r="94">
          <cell r="A94" t="str">
            <v>АО "Инвестиционная компания Standard"</v>
          </cell>
          <cell r="B94">
            <v>35</v>
          </cell>
          <cell r="C94">
            <v>15000</v>
          </cell>
        </row>
        <row r="95">
          <cell r="A95" t="str">
            <v>АО "N1Broker"</v>
          </cell>
          <cell r="B95">
            <v>138</v>
          </cell>
          <cell r="C95">
            <v>15000</v>
          </cell>
        </row>
        <row r="96">
          <cell r="A96" t="str">
            <v>АО "СК "Amanat"</v>
          </cell>
          <cell r="B96">
            <v>1</v>
          </cell>
          <cell r="C96">
            <v>15000</v>
          </cell>
        </row>
        <row r="97">
          <cell r="A97" t="str">
            <v>АО "КСЖ "Nomad Life"</v>
          </cell>
          <cell r="B97">
            <v>0</v>
          </cell>
          <cell r="C97">
            <v>15000</v>
          </cell>
        </row>
        <row r="98">
          <cell r="A98" t="str">
            <v>ТОО «МФО «Quick Money»</v>
          </cell>
          <cell r="B98">
            <v>1892</v>
          </cell>
          <cell r="C98">
            <v>66220</v>
          </cell>
        </row>
        <row r="99">
          <cell r="A99" t="str">
            <v>АО "Колеса"</v>
          </cell>
          <cell r="B99">
            <v>0</v>
          </cell>
          <cell r="C99">
            <v>15000</v>
          </cell>
        </row>
        <row r="100">
          <cell r="A100" t="str">
            <v>ТОО "Коллекторское агентство "Jetu"</v>
          </cell>
          <cell r="B100">
            <v>1656</v>
          </cell>
          <cell r="C100">
            <v>57960</v>
          </cell>
        </row>
        <row r="101">
          <cell r="A101" t="str">
            <v>ТОО "МФО Touchzaim"</v>
          </cell>
          <cell r="B101">
            <v>0</v>
          </cell>
          <cell r="C101">
            <v>15000</v>
          </cell>
        </row>
        <row r="102">
          <cell r="A102" t="str">
            <v>ТОО "МФО Мега Кредит"</v>
          </cell>
          <cell r="B102">
            <v>0</v>
          </cell>
          <cell r="C102">
            <v>15000</v>
          </cell>
        </row>
        <row r="103">
          <cell r="A103" t="str">
            <v>АО "СК "Номад Иншуранс"</v>
          </cell>
          <cell r="B103">
            <v>10408</v>
          </cell>
          <cell r="C103">
            <v>366440</v>
          </cell>
        </row>
        <row r="104">
          <cell r="A104" t="str">
            <v>ПК "Freedom Finance Global PLC"</v>
          </cell>
          <cell r="B104">
            <v>0</v>
          </cell>
          <cell r="C104">
            <v>15000</v>
          </cell>
        </row>
        <row r="105">
          <cell r="A105" t="str">
            <v>ТОО «Микрофинансовая организация «TAS FINANCE GROUP»</v>
          </cell>
          <cell r="B105">
            <v>0</v>
          </cell>
          <cell r="C105">
            <v>15000</v>
          </cell>
        </row>
        <row r="106">
          <cell r="A106" t="str">
            <v>ТОО "Ломбард Верный"</v>
          </cell>
          <cell r="B106">
            <v>0</v>
          </cell>
          <cell r="C106">
            <v>15000</v>
          </cell>
        </row>
        <row r="107">
          <cell r="A107" t="str">
            <v>Товарищество с ограниченной ответственностью "WOOPPAY" (ВУППЭЙ)</v>
          </cell>
          <cell r="B107">
            <v>71060</v>
          </cell>
          <cell r="C107">
            <v>1563320</v>
          </cell>
        </row>
        <row r="108">
          <cell r="A108" t="str">
            <v>ТОО "МФО "Lending and financy technologies"</v>
          </cell>
          <cell r="B108">
            <v>14793</v>
          </cell>
          <cell r="C108">
            <v>517755</v>
          </cell>
        </row>
        <row r="109">
          <cell r="A109" t="str">
            <v>ТОО "МФО "НИЕТ Кредит"</v>
          </cell>
          <cell r="B109">
            <v>262</v>
          </cell>
          <cell r="C109">
            <v>15000</v>
          </cell>
        </row>
        <row r="110">
          <cell r="A110" t="str">
            <v>ТОО "МФО "Арнур Кредит"</v>
          </cell>
          <cell r="B110">
            <v>3</v>
          </cell>
          <cell r="C110">
            <v>15000</v>
          </cell>
        </row>
      </sheetData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"/>
      <sheetName val="Дох.ОД"/>
      <sheetName val="МТ102"/>
      <sheetName val="Дох.НД"/>
      <sheetName val="фасти"/>
      <sheetName val="свифт"/>
      <sheetName val="УЦ"/>
      <sheetName val="виза"/>
      <sheetName val="СОРПН"/>
      <sheetName val="дет.сад"/>
      <sheetName val="фин план"/>
      <sheetName val="фин план 2"/>
      <sheetName val="фин план 2 (2)"/>
      <sheetName val="фин план по видам"/>
      <sheetName val="кальк"/>
      <sheetName val="накл"/>
      <sheetName val="рас пер "/>
      <sheetName val="смета"/>
      <sheetName val="движ-е денег"/>
      <sheetName val="аморт"/>
      <sheetName val="аморт1"/>
      <sheetName val="аморт2"/>
      <sheetName val="приобр ОС (2)"/>
      <sheetName val="план кап расходов"/>
      <sheetName val="амортОС2004"/>
      <sheetName val="взамен саморт"/>
      <sheetName val="ОС по функциям "/>
      <sheetName val="З-плата "/>
      <sheetName val="З-плата2"/>
      <sheetName val="сопровожд ПО"/>
      <sheetName val="связь"/>
      <sheetName val="обслуж оборуд"/>
      <sheetName val="ремонт"/>
      <sheetName val="подг кадр"/>
      <sheetName val="подг кадр (2)"/>
      <sheetName val="команд"/>
      <sheetName val="команд (2)"/>
      <sheetName val="матер1"/>
      <sheetName val="матер2 "/>
      <sheetName val="наем трансп"/>
      <sheetName val="наем трансп (2)"/>
      <sheetName val="аренда"/>
      <sheetName val="коммун"/>
      <sheetName val="соцвыпл"/>
      <sheetName val="пер. изд"/>
      <sheetName val="предст"/>
      <sheetName val="адм прочие"/>
      <sheetName val="аудит"/>
      <sheetName val="налоги"/>
      <sheetName val="проценты"/>
      <sheetName val="неосн деят"/>
      <sheetName val="динамика"/>
      <sheetName val="чистый доход"/>
      <sheetName val="тариф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121.5</v>
          </cell>
          <cell r="E7">
            <v>121.5</v>
          </cell>
          <cell r="F7">
            <v>121.5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март24"/>
      <sheetName val="Апр24"/>
      <sheetName val="Май24"/>
      <sheetName val="Февраль24"/>
      <sheetName val="Январь2024"/>
      <sheetName val="июнь24"/>
      <sheetName val="июль24"/>
      <sheetName val="авг24"/>
      <sheetName val="сент24"/>
      <sheetName val="окт24"/>
      <sheetName val="нояб24"/>
      <sheetName val="дек24"/>
      <sheetName val="2025"/>
      <sheetName val="Свод 1 квартал"/>
      <sheetName val="март25"/>
      <sheetName val="2FAмарт25"/>
      <sheetName val="Finfeb25"/>
      <sheetName val="Фев25"/>
      <sheetName val="Январь2025"/>
      <sheetName val="План 2025"/>
      <sheetName val="Доход от участника FinID"/>
      <sheetName val="Лист1"/>
      <sheetName val="Журнал FinID янв25"/>
      <sheetName val="Visual photomatch2024"/>
      <sheetName val="Visual FinID2024"/>
      <sheetName val="фотомачмарт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янв"/>
      <sheetName val="фев"/>
      <sheetName val="март"/>
    </sheetNames>
    <sheetDataSet>
      <sheetData sheetId="0" refreshError="1"/>
      <sheetData sheetId="1" refreshError="1">
        <row r="1">
          <cell r="A1" t="str">
            <v>Наименование пользователя</v>
          </cell>
          <cell r="B1" t="str">
            <v>Количество запросов</v>
          </cell>
          <cell r="C1" t="str">
            <v>Сумма(без НДС)</v>
          </cell>
        </row>
        <row r="2">
          <cell r="A2" t="str">
            <v>АО «Государственное кредитное бюро»</v>
          </cell>
          <cell r="B2">
            <v>16447</v>
          </cell>
          <cell r="C2">
            <v>2960460</v>
          </cell>
        </row>
        <row r="3">
          <cell r="A3" t="str">
            <v>ТОО БетаТрансфер</v>
          </cell>
          <cell r="B3">
            <v>19768</v>
          </cell>
          <cell r="C3">
            <v>3558240</v>
          </cell>
        </row>
        <row r="4">
          <cell r="A4" t="str">
            <v>ТОО «МФО «Деньги говорят»</v>
          </cell>
          <cell r="B4">
            <v>28212</v>
          </cell>
          <cell r="C4">
            <v>5419640</v>
          </cell>
        </row>
        <row r="5">
          <cell r="A5" t="str">
            <v>ТОО «МФО «Mogo Kazakhstan (Мого Казахстан)»</v>
          </cell>
          <cell r="B5">
            <v>14025</v>
          </cell>
          <cell r="C5">
            <v>2690900</v>
          </cell>
        </row>
        <row r="6">
          <cell r="A6" t="str">
            <v>ТОО «МФО «TAS FINANCE GROUP»</v>
          </cell>
          <cell r="B6">
            <v>4322</v>
          </cell>
          <cell r="C6">
            <v>835480</v>
          </cell>
        </row>
        <row r="7">
          <cell r="A7" t="str">
            <v>ТОО «МФО «СиСиЛоун.кз»</v>
          </cell>
          <cell r="B7">
            <v>6010</v>
          </cell>
          <cell r="C7">
            <v>1172620</v>
          </cell>
        </row>
        <row r="8">
          <cell r="A8" t="str">
            <v>ТОО «МФО «Lending and Finance technologies»</v>
          </cell>
          <cell r="B8">
            <v>5206</v>
          </cell>
          <cell r="C8">
            <v>998740</v>
          </cell>
        </row>
        <row r="9">
          <cell r="A9" t="str">
            <v>АО СК Freedom Finance Insurance</v>
          </cell>
          <cell r="B9">
            <v>0</v>
          </cell>
          <cell r="C9">
            <v>15000</v>
          </cell>
        </row>
        <row r="10">
          <cell r="A10" t="str">
            <v>ТОО «Digital Alash inc.»</v>
          </cell>
          <cell r="B10">
            <v>79</v>
          </cell>
          <cell r="C10">
            <v>15200</v>
          </cell>
        </row>
        <row r="11">
          <cell r="A11" t="str">
            <v>АО "Центральный депозитарий ценных бумаг"</v>
          </cell>
          <cell r="B11">
            <v>57</v>
          </cell>
          <cell r="C11">
            <v>15000</v>
          </cell>
        </row>
        <row r="12">
          <cell r="A12" t="str">
            <v>АО Казпочта</v>
          </cell>
          <cell r="B12">
            <v>74507</v>
          </cell>
          <cell r="C12">
            <v>12666190</v>
          </cell>
        </row>
        <row r="13">
          <cell r="A13" t="str">
            <v>ТОО "OSON payments (ОСОН пэйментс)"</v>
          </cell>
          <cell r="B13">
            <v>177</v>
          </cell>
          <cell r="C13">
            <v>31860</v>
          </cell>
        </row>
        <row r="14">
          <cell r="A14" t="str">
            <v>ТОО "ALD PAY"</v>
          </cell>
          <cell r="B14">
            <v>5</v>
          </cell>
          <cell r="C14">
            <v>15000</v>
          </cell>
        </row>
        <row r="15">
          <cell r="A15" t="str">
            <v>ТОО «МФО «Тойота Файнаншл Сервисез Казахстан»</v>
          </cell>
          <cell r="B15">
            <v>0</v>
          </cell>
          <cell r="C15">
            <v>15000</v>
          </cell>
        </row>
        <row r="16">
          <cell r="A16" t="str">
            <v>ТОО МФО ФинТехЛаб</v>
          </cell>
          <cell r="B16">
            <v>719</v>
          </cell>
          <cell r="C16">
            <v>129420</v>
          </cell>
        </row>
        <row r="17">
          <cell r="A17" t="str">
            <v>Итого:</v>
          </cell>
          <cell r="B17">
            <v>169534</v>
          </cell>
          <cell r="C17">
            <v>30538750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Финплан "/>
      <sheetName val="Отчет по исп. Финплана"/>
      <sheetName val="смета расходов"/>
      <sheetName val="План производства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ЦОИД"/>
      <sheetName val="ЦОИД расчет"/>
      <sheetName val="OpenAPI"/>
      <sheetName val="Калькуляция распред по доход пр"/>
      <sheetName val="Антифрод центр"/>
      <sheetName val="1 ФОТ"/>
      <sheetName val="свод аморт. для кал-й"/>
      <sheetName val="1 ФОТ антифрод"/>
      <sheetName val="2 амортизация антифрод"/>
      <sheetName val=" МСПК"/>
      <sheetName val="дох2026 upi"/>
      <sheetName val="дох2026 виза"/>
      <sheetName val="дох2026 мс "/>
      <sheetName val="Прогноз по изменению тарифов"/>
      <sheetName val="VISA Mastercard UnionPay"/>
      <sheetName val="СПБС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Кап расходы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6"/>
      <sheetName val="План ЦКО 2026"/>
      <sheetName val="9_связь"/>
      <sheetName val="10_транспортные услуги"/>
      <sheetName val="расчет паркинга"/>
      <sheetName val="11_спецуслуги"/>
      <sheetName val="смета 2026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</sheetNames>
    <sheetDataSet>
      <sheetData sheetId="0">
        <row r="2">
          <cell r="B2">
            <v>1.105</v>
          </cell>
        </row>
        <row r="3">
          <cell r="B3">
            <v>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M14">
            <v>4364938.7552651996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35">
          <cell r="D135">
            <v>2173048.3591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Графики"/>
      <sheetName val="fes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1 вариант  2009 "/>
      <sheetName val="Таб 1 к Прил 10 з-плата1"/>
      <sheetName val="Таб 4 к Прил 1 Свиф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исп_см_"/>
      <sheetName val="Monthly Graphs 01"/>
      <sheetName val="Monthly Graphs 00"/>
      <sheetName val="GTM BK"/>
      <sheetName val="Провизии"/>
      <sheetName val="бюдж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1"/>
      <sheetName val="Стратегия"/>
      <sheetName val="ЦелиЗадачи3"/>
      <sheetName val="ОснПок4"/>
      <sheetName val="АктивПассив"/>
      <sheetName val="ФинПлан5"/>
      <sheetName val="КапРасходы6"/>
      <sheetName val="ДвижДенег7"/>
      <sheetName val="пояснительная записка"/>
      <sheetName val="Лист2"/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,7 к Прил 1 Виза"/>
      <sheetName val="Таб 8 к Прил 1 ЦОИД"/>
      <sheetName val="Таб 9 к Прил 1 МСПК"/>
      <sheetName val="Таб 10 к Прил 1 СПБС"/>
      <sheetName val="ОФП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 "/>
      <sheetName val="Таб 2 к Прил 5 ТЭО"/>
      <sheetName val="Прил 6 смета"/>
      <sheetName val="Прил 8 движ-е денег"/>
      <sheetName val="Прил 7 кальк (3)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1 к Прил 10 з-плата1 (2)"/>
      <sheetName val="Таб 1 к Прил 10 з-плата1 (3)"/>
      <sheetName val="Таб 2 к Прил 10 З-плата2"/>
      <sheetName val="Таб 1 к Прил 10 з-плата1 (4)"/>
      <sheetName val="Таб 1 к Прил 10 з-плата1 (5)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1 к прил20 подг кадров"/>
      <sheetName val="Прил 21 команд"/>
      <sheetName val="Табл1 к прил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F38">
            <v>470</v>
          </cell>
        </row>
        <row r="39">
          <cell r="F39">
            <v>490.47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8">
          <cell r="C48">
            <v>332853.76614999992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G12">
            <v>210022</v>
          </cell>
          <cell r="AR12">
            <v>104193.98907103825</v>
          </cell>
        </row>
        <row r="235">
          <cell r="C235">
            <v>51450.000000000007</v>
          </cell>
        </row>
      </sheetData>
      <sheetData sheetId="41"/>
      <sheetData sheetId="42">
        <row r="356">
          <cell r="G356">
            <v>588695844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I17">
            <v>18790.434249999998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</sheetNames>
    <sheetDataSet>
      <sheetData sheetId="0"/>
      <sheetData sheetId="1">
        <row r="6">
          <cell r="C6" t="str">
            <v>03, Корректировка 2013г. Версия 3 (2013 год), На утверждении (на Правлении банка)</v>
          </cell>
          <cell r="F6" t="str">
            <v/>
          </cell>
          <cell r="G6" t="str">
            <v>10.04.2013</v>
          </cell>
        </row>
        <row r="7">
          <cell r="B7" t="str">
            <v/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  <sheetName val="Таб 1 к Прил 10 з-плата1"/>
    </sheetNames>
    <sheetDataSet>
      <sheetData sheetId="0"/>
      <sheetData sheetId="1">
        <row r="6">
          <cell r="B6" t="str">
            <v>01.01.2012</v>
          </cell>
        </row>
        <row r="7">
          <cell r="B7" t="str">
            <v>Банк</v>
          </cell>
        </row>
        <row r="8">
          <cell r="B8" t="str">
            <v>Сводный бюджет 2012 год, v.01</v>
          </cell>
          <cell r="C8" t="str">
            <v>01.01.2012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Таб 1 к Прил 10 з-плата1"/>
    </sheetNames>
    <sheetDataSet>
      <sheetData sheetId="0"/>
      <sheetData sheetId="1">
        <row r="7">
          <cell r="C7" t="str">
            <v>01.09.2012</v>
          </cell>
        </row>
        <row r="8">
          <cell r="B8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5486-8E4F-419F-80DE-00A16865AEDE}">
  <sheetPr>
    <pageSetUpPr fitToPage="1"/>
  </sheetPr>
  <dimension ref="A1:T368"/>
  <sheetViews>
    <sheetView tabSelected="1" zoomScale="66" zoomScaleNormal="66" zoomScalePageLayoutView="75" workbookViewId="0">
      <pane ySplit="4" topLeftCell="A235" activePane="bottomLeft" state="frozen"/>
      <selection activeCell="G166" sqref="G166"/>
      <selection pane="bottomLeft" activeCell="G241" sqref="G241"/>
    </sheetView>
  </sheetViews>
  <sheetFormatPr defaultRowHeight="15" x14ac:dyDescent="0.25"/>
  <cols>
    <col min="1" max="1" width="4.28515625" customWidth="1"/>
    <col min="2" max="2" width="16.85546875" customWidth="1"/>
    <col min="3" max="3" width="42.28515625" customWidth="1"/>
    <col min="4" max="4" width="40.85546875" customWidth="1"/>
    <col min="5" max="5" width="39.5703125" customWidth="1"/>
    <col min="6" max="6" width="41" customWidth="1"/>
    <col min="7" max="7" width="20.85546875" customWidth="1"/>
    <col min="8" max="8" width="15" customWidth="1"/>
    <col min="9" max="9" width="14.7109375" customWidth="1"/>
    <col min="10" max="10" width="20.140625" customWidth="1"/>
    <col min="11" max="11" width="19.5703125" customWidth="1"/>
    <col min="12" max="12" width="23.7109375" customWidth="1"/>
    <col min="13" max="13" width="25" customWidth="1"/>
    <col min="14" max="14" width="20.140625" customWidth="1"/>
    <col min="15" max="15" width="17.7109375" customWidth="1"/>
    <col min="16" max="16" width="21" customWidth="1"/>
    <col min="17" max="17" width="20" customWidth="1"/>
    <col min="18" max="18" width="19" customWidth="1"/>
  </cols>
  <sheetData>
    <row r="1" spans="2:18" s="7" customFormat="1" ht="16.5" x14ac:dyDescent="0.25">
      <c r="B1" s="1"/>
      <c r="C1" s="2"/>
      <c r="D1" s="2"/>
      <c r="E1" s="2"/>
      <c r="F1" s="1"/>
      <c r="G1" s="3" t="s">
        <v>0</v>
      </c>
      <c r="H1" s="1"/>
      <c r="I1" s="4"/>
      <c r="J1" s="5"/>
      <c r="K1" s="2"/>
      <c r="L1" s="6"/>
      <c r="N1" s="5"/>
      <c r="O1" s="1"/>
      <c r="P1" s="1"/>
    </row>
    <row r="2" spans="2:18" ht="48.75" customHeight="1" thickBot="1" x14ac:dyDescent="0.3">
      <c r="B2" s="9"/>
      <c r="C2" s="7"/>
      <c r="D2" s="7"/>
      <c r="E2" s="7"/>
      <c r="F2" s="7"/>
      <c r="G2" s="9"/>
      <c r="H2" s="9"/>
      <c r="I2" s="9"/>
      <c r="J2" s="9"/>
      <c r="K2" s="10" t="s">
        <v>1</v>
      </c>
      <c r="L2" s="11" t="s">
        <v>1</v>
      </c>
      <c r="M2" s="11" t="s">
        <v>1</v>
      </c>
      <c r="N2" s="71" t="s">
        <v>2</v>
      </c>
      <c r="O2" s="71"/>
      <c r="P2" s="72"/>
      <c r="Q2" s="9"/>
      <c r="R2" s="9"/>
    </row>
    <row r="3" spans="2:18" s="13" customFormat="1" ht="37.5" customHeight="1" x14ac:dyDescent="0.25">
      <c r="B3" s="73" t="s">
        <v>3</v>
      </c>
      <c r="C3" s="75" t="s">
        <v>4</v>
      </c>
      <c r="D3" s="75" t="s">
        <v>5</v>
      </c>
      <c r="E3" s="75" t="s">
        <v>6</v>
      </c>
      <c r="F3" s="75" t="s">
        <v>7</v>
      </c>
      <c r="G3" s="77" t="s">
        <v>8</v>
      </c>
      <c r="H3" s="77" t="s">
        <v>9</v>
      </c>
      <c r="I3" s="65" t="s">
        <v>10</v>
      </c>
      <c r="J3" s="65" t="s">
        <v>11</v>
      </c>
      <c r="K3" s="65" t="s">
        <v>12</v>
      </c>
      <c r="L3" s="65" t="s">
        <v>13</v>
      </c>
      <c r="M3" s="65" t="s">
        <v>14</v>
      </c>
      <c r="N3" s="65" t="s">
        <v>15</v>
      </c>
      <c r="O3" s="67" t="s">
        <v>16</v>
      </c>
      <c r="P3" s="69" t="s">
        <v>17</v>
      </c>
    </row>
    <row r="4" spans="2:18" s="13" customFormat="1" ht="37.5" customHeight="1" thickBot="1" x14ac:dyDescent="0.3">
      <c r="B4" s="74"/>
      <c r="C4" s="76"/>
      <c r="D4" s="76"/>
      <c r="E4" s="76"/>
      <c r="F4" s="76"/>
      <c r="G4" s="78"/>
      <c r="H4" s="78"/>
      <c r="I4" s="66"/>
      <c r="J4" s="66"/>
      <c r="K4" s="66"/>
      <c r="L4" s="66"/>
      <c r="M4" s="66"/>
      <c r="N4" s="66"/>
      <c r="O4" s="68"/>
      <c r="P4" s="70"/>
    </row>
    <row r="5" spans="2:18" s="1" customFormat="1" ht="12.75" x14ac:dyDescent="0.2">
      <c r="B5" s="14">
        <v>1</v>
      </c>
      <c r="C5" s="15">
        <v>2</v>
      </c>
      <c r="D5" s="15">
        <v>3</v>
      </c>
      <c r="E5" s="15">
        <v>4</v>
      </c>
      <c r="F5" s="15">
        <v>5</v>
      </c>
      <c r="G5" s="14">
        <v>6</v>
      </c>
      <c r="H5" s="14">
        <v>7</v>
      </c>
      <c r="I5" s="14">
        <v>8</v>
      </c>
      <c r="J5" s="14">
        <v>9</v>
      </c>
      <c r="K5" s="16">
        <v>10</v>
      </c>
      <c r="L5" s="14">
        <v>11</v>
      </c>
      <c r="M5" s="14">
        <v>12</v>
      </c>
      <c r="N5" s="14">
        <v>13</v>
      </c>
      <c r="O5" s="14">
        <v>14</v>
      </c>
      <c r="P5" s="17">
        <v>15</v>
      </c>
    </row>
    <row r="6" spans="2:18" ht="28.5" customHeight="1" x14ac:dyDescent="0.25">
      <c r="B6" s="18" t="s">
        <v>18</v>
      </c>
      <c r="C6" s="19" t="s">
        <v>19</v>
      </c>
      <c r="D6" s="19" t="s">
        <v>19</v>
      </c>
      <c r="E6" s="19" t="s">
        <v>20</v>
      </c>
      <c r="F6" s="19" t="s">
        <v>21</v>
      </c>
      <c r="G6" s="57" t="s">
        <v>22</v>
      </c>
      <c r="H6" s="58" t="s">
        <v>23</v>
      </c>
      <c r="I6" s="22">
        <f>25-24+19</f>
        <v>20</v>
      </c>
      <c r="J6" s="22">
        <v>32169.66</v>
      </c>
      <c r="K6" s="22">
        <f t="shared" ref="K6:K11" si="0">I6*J6</f>
        <v>643393.19999999995</v>
      </c>
      <c r="L6" s="22"/>
      <c r="M6" s="23"/>
      <c r="N6" s="22"/>
      <c r="O6" s="57" t="s">
        <v>24</v>
      </c>
      <c r="P6" s="24"/>
      <c r="Q6" s="9"/>
      <c r="R6" s="9"/>
    </row>
    <row r="7" spans="2:18" ht="26.25" customHeight="1" x14ac:dyDescent="0.25">
      <c r="B7" s="18" t="s">
        <v>18</v>
      </c>
      <c r="C7" s="19" t="s">
        <v>19</v>
      </c>
      <c r="D7" s="19" t="s">
        <v>19</v>
      </c>
      <c r="E7" s="19" t="s">
        <v>25</v>
      </c>
      <c r="F7" s="19" t="s">
        <v>26</v>
      </c>
      <c r="G7" s="57" t="s">
        <v>22</v>
      </c>
      <c r="H7" s="58" t="s">
        <v>23</v>
      </c>
      <c r="I7" s="22">
        <v>15</v>
      </c>
      <c r="J7" s="22">
        <f>113750-18217.05-2382.95</f>
        <v>93150</v>
      </c>
      <c r="K7" s="22">
        <f t="shared" si="0"/>
        <v>1397250</v>
      </c>
      <c r="L7" s="22"/>
      <c r="M7" s="23"/>
      <c r="N7" s="22"/>
      <c r="O7" s="57" t="s">
        <v>27</v>
      </c>
      <c r="P7" s="24"/>
      <c r="Q7" s="25"/>
      <c r="R7" s="9"/>
    </row>
    <row r="8" spans="2:18" ht="28.5" customHeight="1" x14ac:dyDescent="0.25">
      <c r="B8" s="18" t="s">
        <v>18</v>
      </c>
      <c r="C8" s="19" t="s">
        <v>19</v>
      </c>
      <c r="D8" s="19" t="s">
        <v>19</v>
      </c>
      <c r="E8" s="19" t="s">
        <v>28</v>
      </c>
      <c r="F8" s="19" t="s">
        <v>29</v>
      </c>
      <c r="G8" s="57" t="s">
        <v>22</v>
      </c>
      <c r="H8" s="58" t="s">
        <v>23</v>
      </c>
      <c r="I8" s="22">
        <v>3</v>
      </c>
      <c r="J8" s="22">
        <v>114700</v>
      </c>
      <c r="K8" s="22">
        <f t="shared" si="0"/>
        <v>344100</v>
      </c>
      <c r="L8" s="22"/>
      <c r="M8" s="23"/>
      <c r="N8" s="22"/>
      <c r="O8" s="57" t="s">
        <v>27</v>
      </c>
      <c r="P8" s="24"/>
      <c r="Q8" s="9"/>
      <c r="R8" s="9"/>
    </row>
    <row r="9" spans="2:18" ht="27.75" customHeight="1" x14ac:dyDescent="0.25">
      <c r="B9" s="18" t="s">
        <v>18</v>
      </c>
      <c r="C9" s="19" t="s">
        <v>19</v>
      </c>
      <c r="D9" s="19" t="s">
        <v>19</v>
      </c>
      <c r="E9" s="19" t="s">
        <v>30</v>
      </c>
      <c r="F9" s="19" t="s">
        <v>31</v>
      </c>
      <c r="G9" s="57" t="s">
        <v>22</v>
      </c>
      <c r="H9" s="58" t="s">
        <v>23</v>
      </c>
      <c r="I9" s="22">
        <v>2</v>
      </c>
      <c r="J9" s="22">
        <v>125000</v>
      </c>
      <c r="K9" s="22">
        <f t="shared" si="0"/>
        <v>250000</v>
      </c>
      <c r="L9" s="22"/>
      <c r="M9" s="23"/>
      <c r="N9" s="22"/>
      <c r="O9" s="57" t="s">
        <v>27</v>
      </c>
      <c r="P9" s="24"/>
      <c r="Q9" s="9"/>
      <c r="R9" s="9"/>
    </row>
    <row r="10" spans="2:18" ht="27" customHeight="1" x14ac:dyDescent="0.25">
      <c r="B10" s="18" t="s">
        <v>18</v>
      </c>
      <c r="C10" s="19" t="s">
        <v>19</v>
      </c>
      <c r="D10" s="19" t="s">
        <v>19</v>
      </c>
      <c r="E10" s="19" t="s">
        <v>32</v>
      </c>
      <c r="F10" s="19" t="s">
        <v>33</v>
      </c>
      <c r="G10" s="57" t="s">
        <v>22</v>
      </c>
      <c r="H10" s="58" t="s">
        <v>23</v>
      </c>
      <c r="I10" s="22">
        <v>1</v>
      </c>
      <c r="J10" s="22">
        <v>125000</v>
      </c>
      <c r="K10" s="22">
        <f t="shared" si="0"/>
        <v>125000</v>
      </c>
      <c r="L10" s="22"/>
      <c r="M10" s="23"/>
      <c r="N10" s="22"/>
      <c r="O10" s="57" t="s">
        <v>27</v>
      </c>
      <c r="P10" s="24"/>
      <c r="Q10" s="9"/>
      <c r="R10" s="9"/>
    </row>
    <row r="11" spans="2:18" ht="26.25" customHeight="1" x14ac:dyDescent="0.25">
      <c r="B11" s="18" t="s">
        <v>18</v>
      </c>
      <c r="C11" s="19" t="s">
        <v>19</v>
      </c>
      <c r="D11" s="19" t="s">
        <v>19</v>
      </c>
      <c r="E11" s="19" t="s">
        <v>34</v>
      </c>
      <c r="F11" s="19" t="s">
        <v>35</v>
      </c>
      <c r="G11" s="57" t="s">
        <v>22</v>
      </c>
      <c r="H11" s="58" t="s">
        <v>23</v>
      </c>
      <c r="I11" s="22">
        <v>2</v>
      </c>
      <c r="J11" s="22">
        <v>125000</v>
      </c>
      <c r="K11" s="22">
        <f t="shared" si="0"/>
        <v>250000</v>
      </c>
      <c r="L11" s="22"/>
      <c r="M11" s="23"/>
      <c r="N11" s="22"/>
      <c r="O11" s="57" t="s">
        <v>27</v>
      </c>
      <c r="P11" s="24"/>
      <c r="Q11" s="9"/>
      <c r="R11" s="9"/>
    </row>
    <row r="12" spans="2:18" ht="26.25" customHeight="1" x14ac:dyDescent="0.25">
      <c r="B12" s="18" t="s">
        <v>18</v>
      </c>
      <c r="C12" s="19" t="s">
        <v>19</v>
      </c>
      <c r="D12" s="19" t="s">
        <v>19</v>
      </c>
      <c r="E12" s="19" t="s">
        <v>36</v>
      </c>
      <c r="F12" s="19" t="s">
        <v>37</v>
      </c>
      <c r="G12" s="57" t="s">
        <v>22</v>
      </c>
      <c r="H12" s="58" t="s">
        <v>23</v>
      </c>
      <c r="I12" s="22">
        <v>1</v>
      </c>
      <c r="J12" s="22">
        <f>117455.36</f>
        <v>117455.36</v>
      </c>
      <c r="K12" s="22">
        <f>I12*J12</f>
        <v>117455.36</v>
      </c>
      <c r="L12" s="22"/>
      <c r="M12" s="23"/>
      <c r="N12" s="22"/>
      <c r="O12" s="57" t="s">
        <v>27</v>
      </c>
      <c r="P12" s="24"/>
      <c r="Q12" s="25"/>
      <c r="R12" s="27"/>
    </row>
    <row r="13" spans="2:18" ht="26.25" customHeight="1" x14ac:dyDescent="0.25">
      <c r="B13" s="18" t="s">
        <v>18</v>
      </c>
      <c r="C13" s="19" t="s">
        <v>19</v>
      </c>
      <c r="D13" s="19" t="s">
        <v>19</v>
      </c>
      <c r="E13" s="19" t="s">
        <v>38</v>
      </c>
      <c r="F13" s="19" t="s">
        <v>39</v>
      </c>
      <c r="G13" s="57" t="s">
        <v>22</v>
      </c>
      <c r="H13" s="58" t="s">
        <v>23</v>
      </c>
      <c r="I13" s="22">
        <v>1</v>
      </c>
      <c r="J13" s="22">
        <f>153794.642857143-26294.64</f>
        <v>127500.00285714299</v>
      </c>
      <c r="K13" s="22">
        <f>I13*J13</f>
        <v>127500.00285714299</v>
      </c>
      <c r="L13" s="22"/>
      <c r="M13" s="23"/>
      <c r="N13" s="22"/>
      <c r="O13" s="57" t="s">
        <v>27</v>
      </c>
      <c r="P13" s="24"/>
      <c r="Q13" s="25"/>
      <c r="R13" s="27"/>
    </row>
    <row r="14" spans="2:18" ht="26.25" customHeight="1" x14ac:dyDescent="0.25">
      <c r="B14" s="18" t="s">
        <v>18</v>
      </c>
      <c r="C14" s="19" t="s">
        <v>19</v>
      </c>
      <c r="D14" s="19" t="s">
        <v>19</v>
      </c>
      <c r="E14" s="19" t="s">
        <v>40</v>
      </c>
      <c r="F14" s="19" t="s">
        <v>41</v>
      </c>
      <c r="G14" s="57" t="s">
        <v>22</v>
      </c>
      <c r="H14" s="58" t="s">
        <v>23</v>
      </c>
      <c r="I14" s="22">
        <v>1</v>
      </c>
      <c r="J14" s="22">
        <v>153794.64000000001</v>
      </c>
      <c r="K14" s="22">
        <f>I14*J14</f>
        <v>153794.64000000001</v>
      </c>
      <c r="L14" s="22"/>
      <c r="M14" s="23"/>
      <c r="N14" s="22"/>
      <c r="O14" s="57" t="s">
        <v>27</v>
      </c>
      <c r="P14" s="24"/>
      <c r="Q14" s="25"/>
      <c r="R14" s="27"/>
    </row>
    <row r="15" spans="2:18" ht="26.25" customHeight="1" x14ac:dyDescent="0.25">
      <c r="B15" s="18" t="s">
        <v>18</v>
      </c>
      <c r="C15" s="19" t="s">
        <v>19</v>
      </c>
      <c r="D15" s="19" t="s">
        <v>19</v>
      </c>
      <c r="E15" s="19" t="s">
        <v>42</v>
      </c>
      <c r="F15" s="19" t="s">
        <v>43</v>
      </c>
      <c r="G15" s="57" t="s">
        <v>22</v>
      </c>
      <c r="H15" s="58" t="s">
        <v>23</v>
      </c>
      <c r="I15" s="22">
        <v>1</v>
      </c>
      <c r="J15" s="22">
        <v>153794.64000000001</v>
      </c>
      <c r="K15" s="22">
        <f>I15*J15</f>
        <v>153794.64000000001</v>
      </c>
      <c r="L15" s="22"/>
      <c r="M15" s="23"/>
      <c r="N15" s="22"/>
      <c r="O15" s="57" t="s">
        <v>27</v>
      </c>
      <c r="P15" s="24"/>
      <c r="Q15" s="25"/>
      <c r="R15" s="27"/>
    </row>
    <row r="16" spans="2:18" ht="32.25" customHeight="1" x14ac:dyDescent="0.25">
      <c r="B16" s="18" t="s">
        <v>18</v>
      </c>
      <c r="C16" s="19" t="s">
        <v>19</v>
      </c>
      <c r="D16" s="19" t="s">
        <v>19</v>
      </c>
      <c r="E16" s="19" t="s">
        <v>44</v>
      </c>
      <c r="F16" s="19" t="s">
        <v>45</v>
      </c>
      <c r="G16" s="57" t="s">
        <v>22</v>
      </c>
      <c r="H16" s="58" t="s">
        <v>23</v>
      </c>
      <c r="I16" s="22">
        <v>5</v>
      </c>
      <c r="J16" s="22">
        <f>113400-24610</f>
        <v>88790</v>
      </c>
      <c r="K16" s="22">
        <f t="shared" ref="K16:K45" si="1">I16*J16</f>
        <v>443950</v>
      </c>
      <c r="L16" s="22"/>
      <c r="M16" s="23"/>
      <c r="N16" s="22"/>
      <c r="O16" s="57" t="s">
        <v>27</v>
      </c>
      <c r="P16" s="24"/>
      <c r="Q16" s="9"/>
      <c r="R16" s="9"/>
    </row>
    <row r="17" spans="2:17" ht="26.25" customHeight="1" x14ac:dyDescent="0.25">
      <c r="B17" s="18" t="s">
        <v>18</v>
      </c>
      <c r="C17" s="19" t="s">
        <v>19</v>
      </c>
      <c r="D17" s="19" t="s">
        <v>19</v>
      </c>
      <c r="E17" s="19" t="s">
        <v>46</v>
      </c>
      <c r="F17" s="19" t="s">
        <v>47</v>
      </c>
      <c r="G17" s="57" t="s">
        <v>22</v>
      </c>
      <c r="H17" s="58" t="s">
        <v>23</v>
      </c>
      <c r="I17" s="22">
        <v>3</v>
      </c>
      <c r="J17" s="22">
        <v>53900</v>
      </c>
      <c r="K17" s="22">
        <f t="shared" si="1"/>
        <v>161700</v>
      </c>
      <c r="L17" s="22"/>
      <c r="M17" s="23"/>
      <c r="N17" s="22"/>
      <c r="O17" s="57" t="s">
        <v>27</v>
      </c>
      <c r="P17" s="24"/>
      <c r="Q17" s="9"/>
    </row>
    <row r="18" spans="2:17" ht="25.5" customHeight="1" x14ac:dyDescent="0.25">
      <c r="B18" s="18" t="s">
        <v>18</v>
      </c>
      <c r="C18" s="19" t="s">
        <v>48</v>
      </c>
      <c r="D18" s="19" t="s">
        <v>48</v>
      </c>
      <c r="E18" s="19" t="s">
        <v>49</v>
      </c>
      <c r="F18" s="19" t="s">
        <v>50</v>
      </c>
      <c r="G18" s="57" t="s">
        <v>22</v>
      </c>
      <c r="H18" s="58" t="s">
        <v>23</v>
      </c>
      <c r="I18" s="22">
        <v>1</v>
      </c>
      <c r="J18" s="22">
        <f>175500-53180</f>
        <v>122320</v>
      </c>
      <c r="K18" s="22">
        <f>I18*J18</f>
        <v>122320</v>
      </c>
      <c r="L18" s="22"/>
      <c r="M18" s="23"/>
      <c r="N18" s="22"/>
      <c r="O18" s="57" t="s">
        <v>27</v>
      </c>
      <c r="P18" s="24"/>
      <c r="Q18" s="9"/>
    </row>
    <row r="19" spans="2:17" ht="26.25" customHeight="1" x14ac:dyDescent="0.25">
      <c r="B19" s="18" t="s">
        <v>18</v>
      </c>
      <c r="C19" s="19" t="s">
        <v>19</v>
      </c>
      <c r="D19" s="19" t="s">
        <v>19</v>
      </c>
      <c r="E19" s="19" t="s">
        <v>51</v>
      </c>
      <c r="F19" s="19" t="s">
        <v>52</v>
      </c>
      <c r="G19" s="57" t="s">
        <v>22</v>
      </c>
      <c r="H19" s="58" t="s">
        <v>23</v>
      </c>
      <c r="I19" s="22">
        <v>15</v>
      </c>
      <c r="J19" s="22">
        <f>66500-13500</f>
        <v>53000</v>
      </c>
      <c r="K19" s="22">
        <f>I19*J19</f>
        <v>795000</v>
      </c>
      <c r="L19" s="22"/>
      <c r="M19" s="23"/>
      <c r="N19" s="22"/>
      <c r="O19" s="57" t="s">
        <v>53</v>
      </c>
      <c r="P19" s="24"/>
      <c r="Q19" s="9"/>
    </row>
    <row r="20" spans="2:17" ht="26.25" x14ac:dyDescent="0.25">
      <c r="B20" s="18" t="s">
        <v>18</v>
      </c>
      <c r="C20" s="19" t="s">
        <v>54</v>
      </c>
      <c r="D20" s="19" t="s">
        <v>54</v>
      </c>
      <c r="E20" s="19" t="s">
        <v>55</v>
      </c>
      <c r="F20" s="19" t="s">
        <v>56</v>
      </c>
      <c r="G20" s="57" t="s">
        <v>22</v>
      </c>
      <c r="H20" s="58" t="s">
        <v>23</v>
      </c>
      <c r="I20" s="22">
        <v>6</v>
      </c>
      <c r="J20" s="22">
        <f>85250-9750</f>
        <v>75500</v>
      </c>
      <c r="K20" s="22">
        <f>I20*J20</f>
        <v>453000</v>
      </c>
      <c r="L20" s="22"/>
      <c r="M20" s="23"/>
      <c r="N20" s="22"/>
      <c r="O20" s="57" t="s">
        <v>53</v>
      </c>
      <c r="P20" s="24"/>
      <c r="Q20" s="25"/>
    </row>
    <row r="21" spans="2:17" ht="22.5" customHeight="1" x14ac:dyDescent="0.25">
      <c r="B21" s="18" t="s">
        <v>18</v>
      </c>
      <c r="C21" s="19" t="s">
        <v>57</v>
      </c>
      <c r="D21" s="19" t="s">
        <v>58</v>
      </c>
      <c r="E21" s="19" t="s">
        <v>59</v>
      </c>
      <c r="F21" s="28" t="s">
        <v>60</v>
      </c>
      <c r="G21" s="57" t="s">
        <v>22</v>
      </c>
      <c r="H21" s="58" t="s">
        <v>61</v>
      </c>
      <c r="I21" s="22">
        <v>12</v>
      </c>
      <c r="J21" s="22">
        <v>93750</v>
      </c>
      <c r="K21" s="22">
        <f t="shared" si="1"/>
        <v>1125000</v>
      </c>
      <c r="L21" s="22"/>
      <c r="M21" s="23"/>
      <c r="N21" s="22"/>
      <c r="O21" s="57" t="s">
        <v>24</v>
      </c>
      <c r="P21" s="24"/>
      <c r="Q21" s="9"/>
    </row>
    <row r="22" spans="2:17" ht="23.25" customHeight="1" x14ac:dyDescent="0.25">
      <c r="B22" s="18" t="s">
        <v>18</v>
      </c>
      <c r="C22" s="19" t="s">
        <v>57</v>
      </c>
      <c r="D22" s="19" t="s">
        <v>58</v>
      </c>
      <c r="E22" s="19" t="s">
        <v>62</v>
      </c>
      <c r="F22" s="28" t="s">
        <v>63</v>
      </c>
      <c r="G22" s="57" t="s">
        <v>22</v>
      </c>
      <c r="H22" s="58" t="s">
        <v>23</v>
      </c>
      <c r="I22" s="22">
        <v>50</v>
      </c>
      <c r="J22" s="22">
        <v>3525</v>
      </c>
      <c r="K22" s="22">
        <f>I22*J22</f>
        <v>176250</v>
      </c>
      <c r="L22" s="22"/>
      <c r="M22" s="23"/>
      <c r="N22" s="22"/>
      <c r="O22" s="57" t="s">
        <v>24</v>
      </c>
      <c r="P22" s="24"/>
      <c r="Q22" s="9"/>
    </row>
    <row r="23" spans="2:17" ht="22.5" customHeight="1" x14ac:dyDescent="0.25">
      <c r="B23" s="18" t="s">
        <v>18</v>
      </c>
      <c r="C23" s="19" t="s">
        <v>57</v>
      </c>
      <c r="D23" s="19" t="s">
        <v>58</v>
      </c>
      <c r="E23" s="19" t="s">
        <v>64</v>
      </c>
      <c r="F23" s="28" t="s">
        <v>65</v>
      </c>
      <c r="G23" s="57" t="s">
        <v>22</v>
      </c>
      <c r="H23" s="58" t="s">
        <v>23</v>
      </c>
      <c r="I23" s="22">
        <v>150</v>
      </c>
      <c r="J23" s="22">
        <v>2180.36</v>
      </c>
      <c r="K23" s="22">
        <f>I23*J23</f>
        <v>327054</v>
      </c>
      <c r="L23" s="22"/>
      <c r="M23" s="23"/>
      <c r="N23" s="22"/>
      <c r="O23" s="57" t="s">
        <v>24</v>
      </c>
      <c r="P23" s="24"/>
      <c r="Q23" s="9"/>
    </row>
    <row r="24" spans="2:17" ht="24.75" customHeight="1" x14ac:dyDescent="0.25">
      <c r="B24" s="18" t="s">
        <v>18</v>
      </c>
      <c r="C24" s="19" t="s">
        <v>57</v>
      </c>
      <c r="D24" s="19" t="s">
        <v>58</v>
      </c>
      <c r="E24" s="19" t="s">
        <v>66</v>
      </c>
      <c r="F24" s="28" t="s">
        <v>67</v>
      </c>
      <c r="G24" s="57" t="s">
        <v>22</v>
      </c>
      <c r="H24" s="58" t="s">
        <v>23</v>
      </c>
      <c r="I24" s="22">
        <v>150</v>
      </c>
      <c r="J24" s="22">
        <v>1155.3599999999999</v>
      </c>
      <c r="K24" s="22">
        <f>I24*J24</f>
        <v>173303.99999999997</v>
      </c>
      <c r="L24" s="22"/>
      <c r="M24" s="23"/>
      <c r="N24" s="22"/>
      <c r="O24" s="57" t="s">
        <v>24</v>
      </c>
      <c r="P24" s="24"/>
      <c r="Q24" s="9"/>
    </row>
    <row r="25" spans="2:17" ht="24.75" customHeight="1" x14ac:dyDescent="0.25">
      <c r="B25" s="18" t="s">
        <v>18</v>
      </c>
      <c r="C25" s="19" t="s">
        <v>57</v>
      </c>
      <c r="D25" s="19" t="s">
        <v>58</v>
      </c>
      <c r="E25" s="19" t="s">
        <v>68</v>
      </c>
      <c r="F25" s="28" t="s">
        <v>69</v>
      </c>
      <c r="G25" s="57" t="s">
        <v>22</v>
      </c>
      <c r="H25" s="58" t="s">
        <v>23</v>
      </c>
      <c r="I25" s="22">
        <v>50</v>
      </c>
      <c r="J25" s="22">
        <v>5074.1099999999997</v>
      </c>
      <c r="K25" s="22">
        <f>I25*J25</f>
        <v>253705.49999999997</v>
      </c>
      <c r="L25" s="22"/>
      <c r="M25" s="23"/>
      <c r="N25" s="22"/>
      <c r="O25" s="57" t="s">
        <v>24</v>
      </c>
      <c r="P25" s="24"/>
      <c r="Q25" s="9"/>
    </row>
    <row r="26" spans="2:17" ht="24" customHeight="1" x14ac:dyDescent="0.25">
      <c r="B26" s="18" t="s">
        <v>18</v>
      </c>
      <c r="C26" s="19" t="s">
        <v>70</v>
      </c>
      <c r="D26" s="19" t="s">
        <v>70</v>
      </c>
      <c r="E26" s="19" t="s">
        <v>71</v>
      </c>
      <c r="F26" s="19" t="s">
        <v>72</v>
      </c>
      <c r="G26" s="57" t="s">
        <v>73</v>
      </c>
      <c r="H26" s="58" t="s">
        <v>23</v>
      </c>
      <c r="I26" s="22">
        <v>200</v>
      </c>
      <c r="J26" s="22">
        <v>47.54</v>
      </c>
      <c r="K26" s="22">
        <f t="shared" si="1"/>
        <v>9508</v>
      </c>
      <c r="L26" s="22"/>
      <c r="M26" s="22"/>
      <c r="N26" s="22"/>
      <c r="O26" s="57" t="s">
        <v>24</v>
      </c>
      <c r="P26" s="24"/>
      <c r="Q26" s="9"/>
    </row>
    <row r="27" spans="2:17" ht="24" customHeight="1" x14ac:dyDescent="0.25">
      <c r="B27" s="18" t="s">
        <v>18</v>
      </c>
      <c r="C27" s="19" t="s">
        <v>57</v>
      </c>
      <c r="D27" s="19" t="s">
        <v>58</v>
      </c>
      <c r="E27" s="29" t="s">
        <v>74</v>
      </c>
      <c r="F27" s="30" t="s">
        <v>75</v>
      </c>
      <c r="G27" s="57" t="s">
        <v>73</v>
      </c>
      <c r="H27" s="57" t="s">
        <v>76</v>
      </c>
      <c r="I27" s="24">
        <v>60</v>
      </c>
      <c r="J27" s="22">
        <v>319.64</v>
      </c>
      <c r="K27" s="22">
        <f t="shared" si="1"/>
        <v>19178.399999999998</v>
      </c>
      <c r="L27" s="22"/>
      <c r="M27" s="22"/>
      <c r="N27" s="22"/>
      <c r="O27" s="57" t="s">
        <v>24</v>
      </c>
      <c r="P27" s="24"/>
      <c r="Q27" s="9"/>
    </row>
    <row r="28" spans="2:17" ht="24" customHeight="1" x14ac:dyDescent="0.25">
      <c r="B28" s="18" t="s">
        <v>18</v>
      </c>
      <c r="C28" s="19" t="s">
        <v>57</v>
      </c>
      <c r="D28" s="19" t="s">
        <v>58</v>
      </c>
      <c r="E28" s="29" t="s">
        <v>77</v>
      </c>
      <c r="F28" s="30" t="s">
        <v>78</v>
      </c>
      <c r="G28" s="57" t="s">
        <v>22</v>
      </c>
      <c r="H28" s="57" t="s">
        <v>76</v>
      </c>
      <c r="I28" s="24">
        <v>60</v>
      </c>
      <c r="J28" s="22">
        <v>3482.16</v>
      </c>
      <c r="K28" s="22">
        <f t="shared" si="1"/>
        <v>208929.59999999998</v>
      </c>
      <c r="L28" s="22"/>
      <c r="M28" s="22"/>
      <c r="N28" s="22"/>
      <c r="O28" s="57" t="s">
        <v>79</v>
      </c>
      <c r="P28" s="24"/>
      <c r="Q28" s="9"/>
    </row>
    <row r="29" spans="2:17" ht="22.5" customHeight="1" x14ac:dyDescent="0.25">
      <c r="B29" s="18" t="s">
        <v>18</v>
      </c>
      <c r="C29" s="19" t="s">
        <v>80</v>
      </c>
      <c r="D29" s="19" t="s">
        <v>81</v>
      </c>
      <c r="E29" s="28" t="s">
        <v>82</v>
      </c>
      <c r="F29" s="19" t="s">
        <v>83</v>
      </c>
      <c r="G29" s="57" t="s">
        <v>73</v>
      </c>
      <c r="H29" s="58" t="s">
        <v>84</v>
      </c>
      <c r="I29" s="22">
        <v>20</v>
      </c>
      <c r="J29" s="22">
        <v>356.58</v>
      </c>
      <c r="K29" s="22">
        <f>I29*J29</f>
        <v>7131.5999999999995</v>
      </c>
      <c r="L29" s="22"/>
      <c r="M29" s="22"/>
      <c r="N29" s="22"/>
      <c r="O29" s="57" t="s">
        <v>24</v>
      </c>
      <c r="P29" s="24"/>
      <c r="Q29" s="9"/>
    </row>
    <row r="30" spans="2:17" ht="20.25" customHeight="1" x14ac:dyDescent="0.25">
      <c r="B30" s="18" t="s">
        <v>18</v>
      </c>
      <c r="C30" s="19" t="s">
        <v>80</v>
      </c>
      <c r="D30" s="19" t="s">
        <v>81</v>
      </c>
      <c r="E30" s="19" t="s">
        <v>85</v>
      </c>
      <c r="F30" s="19" t="s">
        <v>86</v>
      </c>
      <c r="G30" s="57" t="s">
        <v>73</v>
      </c>
      <c r="H30" s="58" t="s">
        <v>84</v>
      </c>
      <c r="I30" s="22">
        <v>20</v>
      </c>
      <c r="J30" s="22">
        <v>1131.56</v>
      </c>
      <c r="K30" s="22">
        <f t="shared" si="1"/>
        <v>22631.199999999997</v>
      </c>
      <c r="L30" s="22"/>
      <c r="M30" s="22"/>
      <c r="N30" s="22"/>
      <c r="O30" s="57" t="s">
        <v>24</v>
      </c>
      <c r="P30" s="24"/>
      <c r="Q30" s="9"/>
    </row>
    <row r="31" spans="2:17" ht="24" customHeight="1" x14ac:dyDescent="0.25">
      <c r="B31" s="18" t="s">
        <v>18</v>
      </c>
      <c r="C31" s="19" t="s">
        <v>80</v>
      </c>
      <c r="D31" s="19" t="s">
        <v>81</v>
      </c>
      <c r="E31" s="19" t="s">
        <v>87</v>
      </c>
      <c r="F31" s="19" t="s">
        <v>88</v>
      </c>
      <c r="G31" s="57" t="s">
        <v>73</v>
      </c>
      <c r="H31" s="58" t="s">
        <v>84</v>
      </c>
      <c r="I31" s="22">
        <v>20</v>
      </c>
      <c r="J31" s="22">
        <v>1131.56</v>
      </c>
      <c r="K31" s="22">
        <f t="shared" si="1"/>
        <v>22631.199999999997</v>
      </c>
      <c r="L31" s="22"/>
      <c r="M31" s="22"/>
      <c r="N31" s="22"/>
      <c r="O31" s="57" t="s">
        <v>24</v>
      </c>
      <c r="P31" s="24"/>
      <c r="Q31" s="9"/>
    </row>
    <row r="32" spans="2:17" ht="21.75" customHeight="1" x14ac:dyDescent="0.25">
      <c r="B32" s="18" t="s">
        <v>18</v>
      </c>
      <c r="C32" s="19" t="s">
        <v>89</v>
      </c>
      <c r="D32" s="19" t="s">
        <v>90</v>
      </c>
      <c r="E32" s="19" t="s">
        <v>91</v>
      </c>
      <c r="F32" s="19" t="s">
        <v>92</v>
      </c>
      <c r="G32" s="57" t="s">
        <v>73</v>
      </c>
      <c r="H32" s="58" t="s">
        <v>23</v>
      </c>
      <c r="I32" s="22">
        <v>20</v>
      </c>
      <c r="J32" s="22">
        <v>3794.06</v>
      </c>
      <c r="K32" s="22">
        <f t="shared" si="1"/>
        <v>75881.2</v>
      </c>
      <c r="L32" s="22"/>
      <c r="M32" s="22"/>
      <c r="N32" s="22"/>
      <c r="O32" s="57" t="s">
        <v>24</v>
      </c>
      <c r="P32" s="24"/>
      <c r="Q32" s="9"/>
    </row>
    <row r="33" spans="2:17" ht="25.5" customHeight="1" x14ac:dyDescent="0.25">
      <c r="B33" s="18" t="s">
        <v>18</v>
      </c>
      <c r="C33" s="19" t="s">
        <v>93</v>
      </c>
      <c r="D33" s="19" t="s">
        <v>93</v>
      </c>
      <c r="E33" s="19" t="s">
        <v>94</v>
      </c>
      <c r="F33" s="19" t="s">
        <v>95</v>
      </c>
      <c r="G33" s="57" t="s">
        <v>73</v>
      </c>
      <c r="H33" s="58" t="s">
        <v>23</v>
      </c>
      <c r="I33" s="22">
        <v>10</v>
      </c>
      <c r="J33" s="22">
        <v>2938.26</v>
      </c>
      <c r="K33" s="22">
        <f t="shared" si="1"/>
        <v>29382.600000000002</v>
      </c>
      <c r="L33" s="22"/>
      <c r="M33" s="22"/>
      <c r="N33" s="22"/>
      <c r="O33" s="57" t="s">
        <v>24</v>
      </c>
      <c r="P33" s="24"/>
      <c r="Q33" s="9"/>
    </row>
    <row r="34" spans="2:17" ht="28.5" customHeight="1" x14ac:dyDescent="0.25">
      <c r="B34" s="18" t="s">
        <v>18</v>
      </c>
      <c r="C34" s="19" t="s">
        <v>93</v>
      </c>
      <c r="D34" s="19" t="s">
        <v>93</v>
      </c>
      <c r="E34" s="19" t="s">
        <v>96</v>
      </c>
      <c r="F34" s="19" t="s">
        <v>97</v>
      </c>
      <c r="G34" s="57" t="s">
        <v>73</v>
      </c>
      <c r="H34" s="58" t="s">
        <v>84</v>
      </c>
      <c r="I34" s="22">
        <v>100</v>
      </c>
      <c r="J34" s="22">
        <v>638.39</v>
      </c>
      <c r="K34" s="22">
        <f t="shared" si="1"/>
        <v>63839</v>
      </c>
      <c r="L34" s="22"/>
      <c r="M34" s="22"/>
      <c r="N34" s="22"/>
      <c r="O34" s="57" t="s">
        <v>24</v>
      </c>
      <c r="P34" s="24"/>
      <c r="Q34" s="9"/>
    </row>
    <row r="35" spans="2:17" ht="29.25" customHeight="1" x14ac:dyDescent="0.25">
      <c r="B35" s="18" t="s">
        <v>18</v>
      </c>
      <c r="C35" s="19" t="s">
        <v>93</v>
      </c>
      <c r="D35" s="19" t="s">
        <v>93</v>
      </c>
      <c r="E35" s="19" t="s">
        <v>98</v>
      </c>
      <c r="F35" s="19" t="s">
        <v>99</v>
      </c>
      <c r="G35" s="57" t="s">
        <v>73</v>
      </c>
      <c r="H35" s="58" t="s">
        <v>84</v>
      </c>
      <c r="I35" s="22">
        <v>100</v>
      </c>
      <c r="J35" s="22">
        <v>638.39</v>
      </c>
      <c r="K35" s="22">
        <f t="shared" si="1"/>
        <v>63839</v>
      </c>
      <c r="L35" s="22"/>
      <c r="M35" s="22"/>
      <c r="N35" s="22"/>
      <c r="O35" s="57" t="s">
        <v>24</v>
      </c>
      <c r="P35" s="24"/>
      <c r="Q35" s="9"/>
    </row>
    <row r="36" spans="2:17" ht="27" customHeight="1" x14ac:dyDescent="0.25">
      <c r="B36" s="18" t="s">
        <v>18</v>
      </c>
      <c r="C36" s="19" t="s">
        <v>100</v>
      </c>
      <c r="D36" s="19" t="s">
        <v>101</v>
      </c>
      <c r="E36" s="19" t="s">
        <v>102</v>
      </c>
      <c r="F36" s="19" t="s">
        <v>102</v>
      </c>
      <c r="G36" s="57" t="s">
        <v>73</v>
      </c>
      <c r="H36" s="58" t="s">
        <v>23</v>
      </c>
      <c r="I36" s="22">
        <v>70</v>
      </c>
      <c r="J36" s="22">
        <v>228.21</v>
      </c>
      <c r="K36" s="22">
        <f t="shared" si="1"/>
        <v>15974.7</v>
      </c>
      <c r="L36" s="22"/>
      <c r="M36" s="22"/>
      <c r="N36" s="22"/>
      <c r="O36" s="57" t="s">
        <v>24</v>
      </c>
      <c r="P36" s="24"/>
      <c r="Q36" s="9"/>
    </row>
    <row r="37" spans="2:17" ht="27" customHeight="1" x14ac:dyDescent="0.25">
      <c r="B37" s="18" t="s">
        <v>18</v>
      </c>
      <c r="C37" s="19" t="s">
        <v>103</v>
      </c>
      <c r="D37" s="19" t="s">
        <v>103</v>
      </c>
      <c r="E37" s="19" t="s">
        <v>104</v>
      </c>
      <c r="F37" s="19" t="s">
        <v>105</v>
      </c>
      <c r="G37" s="57" t="s">
        <v>73</v>
      </c>
      <c r="H37" s="58" t="s">
        <v>23</v>
      </c>
      <c r="I37" s="22">
        <v>15</v>
      </c>
      <c r="J37" s="22">
        <v>2333.4899999999998</v>
      </c>
      <c r="K37" s="22">
        <f t="shared" si="1"/>
        <v>35002.35</v>
      </c>
      <c r="L37" s="22"/>
      <c r="M37" s="22"/>
      <c r="N37" s="22"/>
      <c r="O37" s="57" t="s">
        <v>24</v>
      </c>
      <c r="P37" s="24"/>
      <c r="Q37" s="9"/>
    </row>
    <row r="38" spans="2:17" ht="26.25" x14ac:dyDescent="0.25">
      <c r="B38" s="18" t="s">
        <v>18</v>
      </c>
      <c r="C38" s="19" t="s">
        <v>106</v>
      </c>
      <c r="D38" s="19" t="s">
        <v>107</v>
      </c>
      <c r="E38" s="19" t="s">
        <v>108</v>
      </c>
      <c r="F38" s="19" t="s">
        <v>109</v>
      </c>
      <c r="G38" s="57" t="s">
        <v>22</v>
      </c>
      <c r="H38" s="58" t="s">
        <v>84</v>
      </c>
      <c r="I38" s="22">
        <v>16</v>
      </c>
      <c r="J38" s="22">
        <v>729.04</v>
      </c>
      <c r="K38" s="22">
        <f t="shared" si="1"/>
        <v>11664.64</v>
      </c>
      <c r="L38" s="22"/>
      <c r="M38" s="22"/>
      <c r="N38" s="22"/>
      <c r="O38" s="57" t="s">
        <v>79</v>
      </c>
      <c r="P38" s="24"/>
      <c r="Q38" s="9"/>
    </row>
    <row r="39" spans="2:17" ht="29.25" customHeight="1" x14ac:dyDescent="0.25">
      <c r="B39" s="18" t="s">
        <v>18</v>
      </c>
      <c r="C39" s="19" t="s">
        <v>106</v>
      </c>
      <c r="D39" s="19" t="s">
        <v>107</v>
      </c>
      <c r="E39" s="19" t="s">
        <v>110</v>
      </c>
      <c r="F39" s="19" t="s">
        <v>111</v>
      </c>
      <c r="G39" s="57" t="s">
        <v>22</v>
      </c>
      <c r="H39" s="58" t="s">
        <v>84</v>
      </c>
      <c r="I39" s="22">
        <v>50</v>
      </c>
      <c r="J39" s="22">
        <v>3669.5</v>
      </c>
      <c r="K39" s="22">
        <f t="shared" si="1"/>
        <v>183475</v>
      </c>
      <c r="L39" s="22"/>
      <c r="M39" s="22"/>
      <c r="N39" s="22"/>
      <c r="O39" s="57" t="s">
        <v>79</v>
      </c>
      <c r="P39" s="24"/>
      <c r="Q39" s="9"/>
    </row>
    <row r="40" spans="2:17" ht="28.5" customHeight="1" x14ac:dyDescent="0.25">
      <c r="B40" s="18" t="s">
        <v>18</v>
      </c>
      <c r="C40" s="19" t="s">
        <v>106</v>
      </c>
      <c r="D40" s="19" t="s">
        <v>107</v>
      </c>
      <c r="E40" s="19" t="s">
        <v>112</v>
      </c>
      <c r="F40" s="19" t="s">
        <v>113</v>
      </c>
      <c r="G40" s="57" t="s">
        <v>22</v>
      </c>
      <c r="H40" s="58" t="s">
        <v>84</v>
      </c>
      <c r="I40" s="22">
        <v>45</v>
      </c>
      <c r="J40" s="22">
        <v>1740.13</v>
      </c>
      <c r="K40" s="22">
        <f t="shared" si="1"/>
        <v>78305.850000000006</v>
      </c>
      <c r="L40" s="22"/>
      <c r="M40" s="22"/>
      <c r="N40" s="22"/>
      <c r="O40" s="57" t="s">
        <v>79</v>
      </c>
      <c r="P40" s="24"/>
      <c r="Q40" s="9"/>
    </row>
    <row r="41" spans="2:17" ht="24.75" customHeight="1" x14ac:dyDescent="0.25">
      <c r="B41" s="18" t="s">
        <v>18</v>
      </c>
      <c r="C41" s="19" t="s">
        <v>114</v>
      </c>
      <c r="D41" s="19" t="s">
        <v>115</v>
      </c>
      <c r="E41" s="19" t="s">
        <v>116</v>
      </c>
      <c r="F41" s="19" t="s">
        <v>117</v>
      </c>
      <c r="G41" s="57" t="s">
        <v>22</v>
      </c>
      <c r="H41" s="58" t="s">
        <v>23</v>
      </c>
      <c r="I41" s="22">
        <v>20</v>
      </c>
      <c r="J41" s="22">
        <v>2282.14</v>
      </c>
      <c r="K41" s="22">
        <f t="shared" si="1"/>
        <v>45642.799999999996</v>
      </c>
      <c r="L41" s="22"/>
      <c r="M41" s="22"/>
      <c r="N41" s="22"/>
      <c r="O41" s="57" t="s">
        <v>79</v>
      </c>
      <c r="P41" s="24"/>
      <c r="Q41" s="9"/>
    </row>
    <row r="42" spans="2:17" ht="32.25" customHeight="1" x14ac:dyDescent="0.25">
      <c r="B42" s="18" t="s">
        <v>18</v>
      </c>
      <c r="C42" s="19" t="s">
        <v>118</v>
      </c>
      <c r="D42" s="19" t="s">
        <v>119</v>
      </c>
      <c r="E42" s="19" t="s">
        <v>120</v>
      </c>
      <c r="F42" s="19" t="s">
        <v>121</v>
      </c>
      <c r="G42" s="57" t="s">
        <v>22</v>
      </c>
      <c r="H42" s="58" t="s">
        <v>23</v>
      </c>
      <c r="I42" s="22">
        <v>10</v>
      </c>
      <c r="J42" s="22">
        <v>3299.6</v>
      </c>
      <c r="K42" s="22">
        <f t="shared" si="1"/>
        <v>32996</v>
      </c>
      <c r="L42" s="22"/>
      <c r="M42" s="22"/>
      <c r="N42" s="22"/>
      <c r="O42" s="57" t="s">
        <v>79</v>
      </c>
      <c r="P42" s="24"/>
      <c r="Q42" s="9"/>
    </row>
    <row r="43" spans="2:17" ht="27.75" customHeight="1" x14ac:dyDescent="0.25">
      <c r="B43" s="18" t="s">
        <v>18</v>
      </c>
      <c r="C43" s="19" t="s">
        <v>118</v>
      </c>
      <c r="D43" s="19" t="s">
        <v>119</v>
      </c>
      <c r="E43" s="19" t="s">
        <v>122</v>
      </c>
      <c r="F43" s="19" t="s">
        <v>123</v>
      </c>
      <c r="G43" s="57" t="s">
        <v>22</v>
      </c>
      <c r="H43" s="58" t="s">
        <v>23</v>
      </c>
      <c r="I43" s="22">
        <v>10</v>
      </c>
      <c r="J43" s="22">
        <v>1202.8800000000001</v>
      </c>
      <c r="K43" s="22">
        <f t="shared" si="1"/>
        <v>12028.800000000001</v>
      </c>
      <c r="L43" s="22"/>
      <c r="M43" s="22"/>
      <c r="N43" s="22"/>
      <c r="O43" s="57" t="s">
        <v>79</v>
      </c>
      <c r="P43" s="24"/>
      <c r="Q43" s="9"/>
    </row>
    <row r="44" spans="2:17" ht="30.75" customHeight="1" x14ac:dyDescent="0.25">
      <c r="B44" s="18" t="s">
        <v>18</v>
      </c>
      <c r="C44" s="19" t="s">
        <v>124</v>
      </c>
      <c r="D44" s="19" t="s">
        <v>125</v>
      </c>
      <c r="E44" s="19" t="s">
        <v>126</v>
      </c>
      <c r="F44" s="19" t="s">
        <v>127</v>
      </c>
      <c r="G44" s="57" t="s">
        <v>22</v>
      </c>
      <c r="H44" s="58" t="s">
        <v>23</v>
      </c>
      <c r="I44" s="22">
        <v>15</v>
      </c>
      <c r="J44" s="22">
        <v>213.95</v>
      </c>
      <c r="K44" s="22">
        <f t="shared" si="1"/>
        <v>3209.25</v>
      </c>
      <c r="L44" s="22"/>
      <c r="M44" s="22"/>
      <c r="N44" s="22"/>
      <c r="O44" s="57" t="s">
        <v>79</v>
      </c>
      <c r="P44" s="24"/>
      <c r="Q44" s="9"/>
    </row>
    <row r="45" spans="2:17" ht="33" customHeight="1" x14ac:dyDescent="0.25">
      <c r="B45" s="18" t="s">
        <v>18</v>
      </c>
      <c r="C45" s="19" t="s">
        <v>128</v>
      </c>
      <c r="D45" s="19" t="s">
        <v>128</v>
      </c>
      <c r="E45" s="19" t="s">
        <v>128</v>
      </c>
      <c r="F45" s="19" t="s">
        <v>128</v>
      </c>
      <c r="G45" s="57" t="s">
        <v>22</v>
      </c>
      <c r="H45" s="58" t="s">
        <v>23</v>
      </c>
      <c r="I45" s="22">
        <v>20</v>
      </c>
      <c r="J45" s="22">
        <v>808.26</v>
      </c>
      <c r="K45" s="22">
        <f t="shared" si="1"/>
        <v>16165.2</v>
      </c>
      <c r="L45" s="22"/>
      <c r="M45" s="22"/>
      <c r="N45" s="22"/>
      <c r="O45" s="57" t="s">
        <v>79</v>
      </c>
      <c r="P45" s="24"/>
      <c r="Q45" s="9"/>
    </row>
    <row r="46" spans="2:17" ht="26.25" customHeight="1" x14ac:dyDescent="0.25">
      <c r="B46" s="18" t="s">
        <v>18</v>
      </c>
      <c r="C46" s="19" t="s">
        <v>129</v>
      </c>
      <c r="D46" s="19" t="s">
        <v>130</v>
      </c>
      <c r="E46" s="19" t="s">
        <v>131</v>
      </c>
      <c r="F46" s="19" t="s">
        <v>132</v>
      </c>
      <c r="G46" s="57" t="s">
        <v>73</v>
      </c>
      <c r="H46" s="58" t="s">
        <v>133</v>
      </c>
      <c r="I46" s="22">
        <v>3</v>
      </c>
      <c r="J46" s="22">
        <f>2785.7+1414.3</f>
        <v>4200</v>
      </c>
      <c r="K46" s="22">
        <f>I46*J46</f>
        <v>12600</v>
      </c>
      <c r="L46" s="22"/>
      <c r="M46" s="23"/>
      <c r="N46" s="22"/>
      <c r="O46" s="57" t="s">
        <v>53</v>
      </c>
      <c r="P46" s="24"/>
      <c r="Q46" s="2"/>
    </row>
    <row r="47" spans="2:17" ht="30" customHeight="1" x14ac:dyDescent="0.25">
      <c r="B47" s="18" t="s">
        <v>18</v>
      </c>
      <c r="C47" s="19" t="s">
        <v>129</v>
      </c>
      <c r="D47" s="19" t="s">
        <v>130</v>
      </c>
      <c r="E47" s="19" t="s">
        <v>134</v>
      </c>
      <c r="F47" s="19" t="s">
        <v>135</v>
      </c>
      <c r="G47" s="57" t="s">
        <v>73</v>
      </c>
      <c r="H47" s="58" t="s">
        <v>133</v>
      </c>
      <c r="I47" s="22">
        <f>535+165</f>
        <v>700</v>
      </c>
      <c r="J47" s="22">
        <f>1388.39+411.61+164.28-133.92</f>
        <v>1830.36</v>
      </c>
      <c r="K47" s="22">
        <f>I47*J47</f>
        <v>1281252</v>
      </c>
      <c r="L47" s="22"/>
      <c r="M47" s="23"/>
      <c r="N47" s="22"/>
      <c r="O47" s="57" t="s">
        <v>53</v>
      </c>
      <c r="P47" s="24"/>
      <c r="Q47" s="2"/>
    </row>
    <row r="48" spans="2:17" ht="22.5" customHeight="1" x14ac:dyDescent="0.25">
      <c r="B48" s="18" t="s">
        <v>18</v>
      </c>
      <c r="C48" s="19" t="s">
        <v>136</v>
      </c>
      <c r="D48" s="19" t="s">
        <v>137</v>
      </c>
      <c r="E48" s="19" t="s">
        <v>138</v>
      </c>
      <c r="F48" s="19" t="s">
        <v>139</v>
      </c>
      <c r="G48" s="57" t="s">
        <v>22</v>
      </c>
      <c r="H48" s="58" t="s">
        <v>133</v>
      </c>
      <c r="I48" s="22">
        <v>1</v>
      </c>
      <c r="J48" s="22">
        <v>2285.6999999999998</v>
      </c>
      <c r="K48" s="22">
        <f t="shared" ref="K48:K111" si="2">I48*J48</f>
        <v>2285.6999999999998</v>
      </c>
      <c r="L48" s="22"/>
      <c r="M48" s="23"/>
      <c r="N48" s="22"/>
      <c r="O48" s="57" t="s">
        <v>53</v>
      </c>
      <c r="P48" s="24"/>
      <c r="Q48" s="9"/>
    </row>
    <row r="49" spans="2:16" ht="24" customHeight="1" x14ac:dyDescent="0.25">
      <c r="B49" s="18" t="s">
        <v>18</v>
      </c>
      <c r="C49" s="19" t="s">
        <v>136</v>
      </c>
      <c r="D49" s="19" t="s">
        <v>137</v>
      </c>
      <c r="E49" s="19" t="s">
        <v>140</v>
      </c>
      <c r="F49" s="19" t="s">
        <v>141</v>
      </c>
      <c r="G49" s="57" t="s">
        <v>22</v>
      </c>
      <c r="H49" s="58" t="s">
        <v>133</v>
      </c>
      <c r="I49" s="22">
        <v>1</v>
      </c>
      <c r="J49" s="22">
        <v>4018.79</v>
      </c>
      <c r="K49" s="22">
        <f t="shared" si="2"/>
        <v>4018.79</v>
      </c>
      <c r="L49" s="22"/>
      <c r="M49" s="23"/>
      <c r="N49" s="22"/>
      <c r="O49" s="57" t="s">
        <v>53</v>
      </c>
      <c r="P49" s="24"/>
    </row>
    <row r="50" spans="2:16" ht="22.5" customHeight="1" x14ac:dyDescent="0.25">
      <c r="B50" s="18" t="s">
        <v>18</v>
      </c>
      <c r="C50" s="19" t="s">
        <v>129</v>
      </c>
      <c r="D50" s="19" t="s">
        <v>130</v>
      </c>
      <c r="E50" s="31" t="s">
        <v>142</v>
      </c>
      <c r="F50" s="19" t="s">
        <v>143</v>
      </c>
      <c r="G50" s="57" t="s">
        <v>22</v>
      </c>
      <c r="H50" s="58" t="s">
        <v>133</v>
      </c>
      <c r="I50" s="22">
        <v>8</v>
      </c>
      <c r="J50" s="22">
        <v>3741</v>
      </c>
      <c r="K50" s="22">
        <f>I50*J50</f>
        <v>29928</v>
      </c>
      <c r="L50" s="22"/>
      <c r="M50" s="23"/>
      <c r="N50" s="22"/>
      <c r="O50" s="57" t="s">
        <v>53</v>
      </c>
      <c r="P50" s="24"/>
    </row>
    <row r="51" spans="2:16" ht="20.25" customHeight="1" x14ac:dyDescent="0.25">
      <c r="B51" s="18" t="s">
        <v>18</v>
      </c>
      <c r="C51" s="19" t="s">
        <v>144</v>
      </c>
      <c r="D51" s="19" t="s">
        <v>144</v>
      </c>
      <c r="E51" s="19" t="s">
        <v>145</v>
      </c>
      <c r="F51" s="19" t="s">
        <v>146</v>
      </c>
      <c r="G51" s="57" t="s">
        <v>22</v>
      </c>
      <c r="H51" s="58" t="s">
        <v>23</v>
      </c>
      <c r="I51" s="22">
        <v>2000</v>
      </c>
      <c r="J51" s="22">
        <v>80.36</v>
      </c>
      <c r="K51" s="22">
        <f t="shared" si="2"/>
        <v>160720</v>
      </c>
      <c r="L51" s="22"/>
      <c r="M51" s="23"/>
      <c r="N51" s="22"/>
      <c r="O51" s="57" t="s">
        <v>24</v>
      </c>
      <c r="P51" s="24"/>
    </row>
    <row r="52" spans="2:16" ht="26.25" customHeight="1" x14ac:dyDescent="0.25">
      <c r="B52" s="18" t="s">
        <v>18</v>
      </c>
      <c r="C52" s="19" t="s">
        <v>144</v>
      </c>
      <c r="D52" s="19" t="s">
        <v>144</v>
      </c>
      <c r="E52" s="19" t="s">
        <v>147</v>
      </c>
      <c r="F52" s="19" t="s">
        <v>148</v>
      </c>
      <c r="G52" s="57" t="s">
        <v>22</v>
      </c>
      <c r="H52" s="58" t="s">
        <v>23</v>
      </c>
      <c r="I52" s="22">
        <v>300</v>
      </c>
      <c r="J52" s="22">
        <v>53.57</v>
      </c>
      <c r="K52" s="22">
        <f t="shared" si="2"/>
        <v>16071</v>
      </c>
      <c r="L52" s="22"/>
      <c r="M52" s="23"/>
      <c r="N52" s="22"/>
      <c r="O52" s="57" t="s">
        <v>53</v>
      </c>
      <c r="P52" s="24"/>
    </row>
    <row r="53" spans="2:16" ht="24.75" customHeight="1" x14ac:dyDescent="0.25">
      <c r="B53" s="18" t="s">
        <v>18</v>
      </c>
      <c r="C53" s="19" t="s">
        <v>144</v>
      </c>
      <c r="D53" s="19" t="s">
        <v>144</v>
      </c>
      <c r="E53" s="19" t="s">
        <v>149</v>
      </c>
      <c r="F53" s="19" t="s">
        <v>150</v>
      </c>
      <c r="G53" s="57" t="s">
        <v>22</v>
      </c>
      <c r="H53" s="58" t="s">
        <v>23</v>
      </c>
      <c r="I53" s="22">
        <v>300</v>
      </c>
      <c r="J53" s="22">
        <v>75.89</v>
      </c>
      <c r="K53" s="22">
        <f t="shared" si="2"/>
        <v>22767</v>
      </c>
      <c r="L53" s="22"/>
      <c r="M53" s="23"/>
      <c r="N53" s="22"/>
      <c r="O53" s="57" t="s">
        <v>53</v>
      </c>
      <c r="P53" s="24"/>
    </row>
    <row r="54" spans="2:16" ht="21.75" customHeight="1" x14ac:dyDescent="0.25">
      <c r="B54" s="18" t="s">
        <v>18</v>
      </c>
      <c r="C54" s="19" t="s">
        <v>151</v>
      </c>
      <c r="D54" s="19" t="s">
        <v>151</v>
      </c>
      <c r="E54" s="19" t="s">
        <v>151</v>
      </c>
      <c r="F54" s="19" t="s">
        <v>151</v>
      </c>
      <c r="G54" s="57" t="s">
        <v>22</v>
      </c>
      <c r="H54" s="58" t="s">
        <v>23</v>
      </c>
      <c r="I54" s="22">
        <v>10</v>
      </c>
      <c r="J54" s="22">
        <v>4901.79</v>
      </c>
      <c r="K54" s="22">
        <f t="shared" si="2"/>
        <v>49017.9</v>
      </c>
      <c r="L54" s="22"/>
      <c r="M54" s="23"/>
      <c r="N54" s="22"/>
      <c r="O54" s="57" t="s">
        <v>53</v>
      </c>
      <c r="P54" s="24"/>
    </row>
    <row r="55" spans="2:16" ht="24.75" customHeight="1" x14ac:dyDescent="0.25">
      <c r="B55" s="18" t="s">
        <v>18</v>
      </c>
      <c r="C55" s="19" t="s">
        <v>152</v>
      </c>
      <c r="D55" s="19" t="s">
        <v>153</v>
      </c>
      <c r="E55" s="19" t="s">
        <v>154</v>
      </c>
      <c r="F55" s="19" t="s">
        <v>155</v>
      </c>
      <c r="G55" s="57" t="s">
        <v>22</v>
      </c>
      <c r="H55" s="58" t="s">
        <v>23</v>
      </c>
      <c r="I55" s="22">
        <v>19</v>
      </c>
      <c r="J55" s="22">
        <f>116.07+48.93</f>
        <v>165</v>
      </c>
      <c r="K55" s="22">
        <f t="shared" si="2"/>
        <v>3135</v>
      </c>
      <c r="L55" s="22"/>
      <c r="M55" s="23"/>
      <c r="N55" s="22"/>
      <c r="O55" s="57" t="s">
        <v>53</v>
      </c>
      <c r="P55" s="24"/>
    </row>
    <row r="56" spans="2:16" ht="21.75" customHeight="1" x14ac:dyDescent="0.25">
      <c r="B56" s="18" t="s">
        <v>18</v>
      </c>
      <c r="C56" s="19" t="s">
        <v>156</v>
      </c>
      <c r="D56" s="19" t="s">
        <v>157</v>
      </c>
      <c r="E56" s="19" t="s">
        <v>156</v>
      </c>
      <c r="F56" s="19" t="s">
        <v>157</v>
      </c>
      <c r="G56" s="57" t="s">
        <v>22</v>
      </c>
      <c r="H56" s="58" t="s">
        <v>23</v>
      </c>
      <c r="I56" s="22">
        <v>30</v>
      </c>
      <c r="J56" s="22">
        <v>459.82</v>
      </c>
      <c r="K56" s="22">
        <f t="shared" si="2"/>
        <v>13794.6</v>
      </c>
      <c r="L56" s="22"/>
      <c r="M56" s="23"/>
      <c r="N56" s="22"/>
      <c r="O56" s="57" t="s">
        <v>53</v>
      </c>
      <c r="P56" s="24"/>
    </row>
    <row r="57" spans="2:16" ht="21.75" customHeight="1" x14ac:dyDescent="0.25">
      <c r="B57" s="18" t="s">
        <v>18</v>
      </c>
      <c r="C57" s="19" t="s">
        <v>158</v>
      </c>
      <c r="D57" s="19" t="s">
        <v>158</v>
      </c>
      <c r="E57" s="19" t="s">
        <v>159</v>
      </c>
      <c r="F57" s="19" t="s">
        <v>159</v>
      </c>
      <c r="G57" s="57" t="s">
        <v>22</v>
      </c>
      <c r="H57" s="58" t="s">
        <v>23</v>
      </c>
      <c r="I57" s="22">
        <v>20</v>
      </c>
      <c r="J57" s="22">
        <v>678.57</v>
      </c>
      <c r="K57" s="22">
        <f t="shared" si="2"/>
        <v>13571.400000000001</v>
      </c>
      <c r="L57" s="22"/>
      <c r="M57" s="23"/>
      <c r="N57" s="22"/>
      <c r="O57" s="57" t="s">
        <v>53</v>
      </c>
      <c r="P57" s="24"/>
    </row>
    <row r="58" spans="2:16" ht="24.75" customHeight="1" x14ac:dyDescent="0.25">
      <c r="B58" s="18" t="s">
        <v>18</v>
      </c>
      <c r="C58" s="19" t="s">
        <v>160</v>
      </c>
      <c r="D58" s="19" t="s">
        <v>160</v>
      </c>
      <c r="E58" s="19" t="s">
        <v>160</v>
      </c>
      <c r="F58" s="19" t="s">
        <v>160</v>
      </c>
      <c r="G58" s="57" t="s">
        <v>22</v>
      </c>
      <c r="H58" s="58" t="s">
        <v>23</v>
      </c>
      <c r="I58" s="22">
        <v>15</v>
      </c>
      <c r="J58" s="22">
        <v>245.54</v>
      </c>
      <c r="K58" s="22">
        <f t="shared" si="2"/>
        <v>3683.1</v>
      </c>
      <c r="L58" s="22"/>
      <c r="M58" s="23"/>
      <c r="N58" s="22"/>
      <c r="O58" s="57" t="s">
        <v>53</v>
      </c>
      <c r="P58" s="24"/>
    </row>
    <row r="59" spans="2:16" ht="24" customHeight="1" x14ac:dyDescent="0.25">
      <c r="B59" s="18" t="s">
        <v>18</v>
      </c>
      <c r="C59" s="19" t="s">
        <v>161</v>
      </c>
      <c r="D59" s="19" t="s">
        <v>162</v>
      </c>
      <c r="E59" s="19" t="s">
        <v>163</v>
      </c>
      <c r="F59" s="19" t="s">
        <v>164</v>
      </c>
      <c r="G59" s="57" t="s">
        <v>22</v>
      </c>
      <c r="H59" s="58" t="s">
        <v>23</v>
      </c>
      <c r="I59" s="22">
        <v>15</v>
      </c>
      <c r="J59" s="22">
        <v>1339.29</v>
      </c>
      <c r="K59" s="22">
        <f>I59*J59</f>
        <v>20089.349999999999</v>
      </c>
      <c r="L59" s="22"/>
      <c r="M59" s="23"/>
      <c r="N59" s="22"/>
      <c r="O59" s="57" t="s">
        <v>53</v>
      </c>
      <c r="P59" s="24"/>
    </row>
    <row r="60" spans="2:16" ht="20.25" customHeight="1" x14ac:dyDescent="0.25">
      <c r="B60" s="18" t="s">
        <v>18</v>
      </c>
      <c r="C60" s="19" t="s">
        <v>165</v>
      </c>
      <c r="D60" s="19" t="s">
        <v>166</v>
      </c>
      <c r="E60" s="19" t="s">
        <v>167</v>
      </c>
      <c r="F60" s="19" t="s">
        <v>168</v>
      </c>
      <c r="G60" s="57" t="s">
        <v>22</v>
      </c>
      <c r="H60" s="58" t="s">
        <v>23</v>
      </c>
      <c r="I60" s="22">
        <v>131</v>
      </c>
      <c r="J60" s="22">
        <f>26.79+9.21</f>
        <v>36</v>
      </c>
      <c r="K60" s="22">
        <f t="shared" si="2"/>
        <v>4716</v>
      </c>
      <c r="L60" s="22"/>
      <c r="M60" s="23"/>
      <c r="N60" s="22"/>
      <c r="O60" s="57" t="s">
        <v>53</v>
      </c>
      <c r="P60" s="24"/>
    </row>
    <row r="61" spans="2:16" ht="18.75" customHeight="1" x14ac:dyDescent="0.25">
      <c r="B61" s="18" t="s">
        <v>18</v>
      </c>
      <c r="C61" s="19" t="s">
        <v>169</v>
      </c>
      <c r="D61" s="19" t="s">
        <v>169</v>
      </c>
      <c r="E61" s="19" t="s">
        <v>170</v>
      </c>
      <c r="F61" s="19" t="s">
        <v>171</v>
      </c>
      <c r="G61" s="57" t="s">
        <v>22</v>
      </c>
      <c r="H61" s="58" t="s">
        <v>23</v>
      </c>
      <c r="I61" s="22">
        <v>28</v>
      </c>
      <c r="J61" s="22">
        <v>339.29</v>
      </c>
      <c r="K61" s="22">
        <f t="shared" si="2"/>
        <v>9500.1200000000008</v>
      </c>
      <c r="L61" s="22"/>
      <c r="M61" s="23"/>
      <c r="N61" s="22"/>
      <c r="O61" s="57" t="s">
        <v>53</v>
      </c>
      <c r="P61" s="24"/>
    </row>
    <row r="62" spans="2:16" ht="23.25" customHeight="1" x14ac:dyDescent="0.25">
      <c r="B62" s="18" t="s">
        <v>18</v>
      </c>
      <c r="C62" s="19" t="s">
        <v>169</v>
      </c>
      <c r="D62" s="19" t="s">
        <v>169</v>
      </c>
      <c r="E62" s="19" t="s">
        <v>172</v>
      </c>
      <c r="F62" s="19" t="s">
        <v>173</v>
      </c>
      <c r="G62" s="57" t="s">
        <v>22</v>
      </c>
      <c r="H62" s="58" t="s">
        <v>23</v>
      </c>
      <c r="I62" s="22">
        <v>5</v>
      </c>
      <c r="J62" s="22">
        <v>281.25</v>
      </c>
      <c r="K62" s="22">
        <f t="shared" si="2"/>
        <v>1406.25</v>
      </c>
      <c r="L62" s="22"/>
      <c r="M62" s="23"/>
      <c r="N62" s="22"/>
      <c r="O62" s="57" t="s">
        <v>53</v>
      </c>
      <c r="P62" s="24"/>
    </row>
    <row r="63" spans="2:16" ht="32.25" customHeight="1" x14ac:dyDescent="0.25">
      <c r="B63" s="18" t="s">
        <v>18</v>
      </c>
      <c r="C63" s="19" t="s">
        <v>169</v>
      </c>
      <c r="D63" s="19" t="s">
        <v>169</v>
      </c>
      <c r="E63" s="19" t="s">
        <v>174</v>
      </c>
      <c r="F63" s="19" t="s">
        <v>175</v>
      </c>
      <c r="G63" s="57" t="s">
        <v>22</v>
      </c>
      <c r="H63" s="58" t="s">
        <v>23</v>
      </c>
      <c r="I63" s="22">
        <v>22</v>
      </c>
      <c r="J63" s="22">
        <v>200.89</v>
      </c>
      <c r="K63" s="22">
        <f t="shared" si="2"/>
        <v>4419.58</v>
      </c>
      <c r="L63" s="22"/>
      <c r="M63" s="23"/>
      <c r="N63" s="22"/>
      <c r="O63" s="57" t="s">
        <v>53</v>
      </c>
      <c r="P63" s="24"/>
    </row>
    <row r="64" spans="2:16" ht="28.5" customHeight="1" x14ac:dyDescent="0.25">
      <c r="B64" s="18" t="s">
        <v>18</v>
      </c>
      <c r="C64" s="19" t="s">
        <v>169</v>
      </c>
      <c r="D64" s="19" t="s">
        <v>169</v>
      </c>
      <c r="E64" s="19" t="s">
        <v>176</v>
      </c>
      <c r="F64" s="19" t="s">
        <v>177</v>
      </c>
      <c r="G64" s="57" t="s">
        <v>22</v>
      </c>
      <c r="H64" s="58" t="s">
        <v>23</v>
      </c>
      <c r="I64" s="22">
        <v>42</v>
      </c>
      <c r="J64" s="22">
        <v>205.36</v>
      </c>
      <c r="K64" s="22">
        <f t="shared" si="2"/>
        <v>8625.1200000000008</v>
      </c>
      <c r="L64" s="22"/>
      <c r="M64" s="23"/>
      <c r="N64" s="22"/>
      <c r="O64" s="57" t="s">
        <v>53</v>
      </c>
      <c r="P64" s="24"/>
    </row>
    <row r="65" spans="2:17" ht="27" customHeight="1" x14ac:dyDescent="0.25">
      <c r="B65" s="18" t="s">
        <v>18</v>
      </c>
      <c r="C65" s="19" t="s">
        <v>178</v>
      </c>
      <c r="D65" s="19" t="s">
        <v>179</v>
      </c>
      <c r="E65" s="19" t="s">
        <v>180</v>
      </c>
      <c r="F65" s="19" t="s">
        <v>181</v>
      </c>
      <c r="G65" s="57" t="s">
        <v>22</v>
      </c>
      <c r="H65" s="58" t="s">
        <v>23</v>
      </c>
      <c r="I65" s="22">
        <v>154</v>
      </c>
      <c r="J65" s="22">
        <f>223.21-142.46</f>
        <v>80.75</v>
      </c>
      <c r="K65" s="22">
        <f t="shared" si="2"/>
        <v>12435.5</v>
      </c>
      <c r="L65" s="22"/>
      <c r="M65" s="23"/>
      <c r="N65" s="22"/>
      <c r="O65" s="57" t="s">
        <v>53</v>
      </c>
      <c r="P65" s="24"/>
      <c r="Q65" s="9"/>
    </row>
    <row r="66" spans="2:17" ht="27.75" customHeight="1" x14ac:dyDescent="0.25">
      <c r="B66" s="18" t="s">
        <v>18</v>
      </c>
      <c r="C66" s="19" t="s">
        <v>182</v>
      </c>
      <c r="D66" s="19" t="s">
        <v>182</v>
      </c>
      <c r="E66" s="19" t="s">
        <v>183</v>
      </c>
      <c r="F66" s="19" t="s">
        <v>184</v>
      </c>
      <c r="G66" s="57" t="s">
        <v>73</v>
      </c>
      <c r="H66" s="58" t="s">
        <v>23</v>
      </c>
      <c r="I66" s="22">
        <v>50</v>
      </c>
      <c r="J66" s="22">
        <v>397.32</v>
      </c>
      <c r="K66" s="22">
        <f t="shared" si="2"/>
        <v>19866</v>
      </c>
      <c r="L66" s="22"/>
      <c r="M66" s="23"/>
      <c r="N66" s="22"/>
      <c r="O66" s="57" t="s">
        <v>53</v>
      </c>
      <c r="P66" s="24"/>
      <c r="Q66" s="9"/>
    </row>
    <row r="67" spans="2:17" ht="26.25" customHeight="1" x14ac:dyDescent="0.25">
      <c r="B67" s="18" t="s">
        <v>18</v>
      </c>
      <c r="C67" s="19" t="s">
        <v>182</v>
      </c>
      <c r="D67" s="19" t="s">
        <v>182</v>
      </c>
      <c r="E67" s="19" t="s">
        <v>185</v>
      </c>
      <c r="F67" s="19" t="s">
        <v>186</v>
      </c>
      <c r="G67" s="57" t="s">
        <v>73</v>
      </c>
      <c r="H67" s="58" t="s">
        <v>23</v>
      </c>
      <c r="I67" s="22">
        <v>225</v>
      </c>
      <c r="J67" s="22">
        <f>584.82+405.18-222.14</f>
        <v>767.86</v>
      </c>
      <c r="K67" s="22">
        <f t="shared" si="2"/>
        <v>172768.5</v>
      </c>
      <c r="L67" s="22"/>
      <c r="M67" s="23"/>
      <c r="N67" s="22"/>
      <c r="O67" s="57" t="s">
        <v>53</v>
      </c>
      <c r="P67" s="24"/>
      <c r="Q67" s="9"/>
    </row>
    <row r="68" spans="2:17" ht="24" customHeight="1" x14ac:dyDescent="0.25">
      <c r="B68" s="18" t="s">
        <v>18</v>
      </c>
      <c r="C68" s="19" t="s">
        <v>182</v>
      </c>
      <c r="D68" s="19" t="s">
        <v>182</v>
      </c>
      <c r="E68" s="19" t="s">
        <v>187</v>
      </c>
      <c r="F68" s="19" t="s">
        <v>188</v>
      </c>
      <c r="G68" s="57" t="s">
        <v>22</v>
      </c>
      <c r="H68" s="58" t="s">
        <v>23</v>
      </c>
      <c r="I68" s="22">
        <v>100</v>
      </c>
      <c r="J68" s="22">
        <f>71.43+23.57</f>
        <v>95</v>
      </c>
      <c r="K68" s="22">
        <f>I68*J68</f>
        <v>9500</v>
      </c>
      <c r="L68" s="22"/>
      <c r="M68" s="23"/>
      <c r="N68" s="22"/>
      <c r="O68" s="57" t="s">
        <v>53</v>
      </c>
      <c r="P68" s="24"/>
      <c r="Q68" s="9"/>
    </row>
    <row r="69" spans="2:17" ht="24.75" customHeight="1" x14ac:dyDescent="0.25">
      <c r="B69" s="18" t="s">
        <v>18</v>
      </c>
      <c r="C69" s="19" t="s">
        <v>182</v>
      </c>
      <c r="D69" s="19" t="s">
        <v>182</v>
      </c>
      <c r="E69" s="19" t="s">
        <v>189</v>
      </c>
      <c r="F69" s="19" t="s">
        <v>190</v>
      </c>
      <c r="G69" s="57" t="s">
        <v>73</v>
      </c>
      <c r="H69" s="58" t="s">
        <v>23</v>
      </c>
      <c r="I69" s="22">
        <v>50</v>
      </c>
      <c r="J69" s="22">
        <f>758.93+2241.07</f>
        <v>3000</v>
      </c>
      <c r="K69" s="22">
        <f>I69*J69</f>
        <v>150000</v>
      </c>
      <c r="L69" s="22"/>
      <c r="M69" s="23"/>
      <c r="N69" s="22"/>
      <c r="O69" s="57" t="s">
        <v>53</v>
      </c>
      <c r="P69" s="24"/>
      <c r="Q69" s="9"/>
    </row>
    <row r="70" spans="2:17" ht="26.25" hidden="1" x14ac:dyDescent="0.25">
      <c r="B70" s="18" t="s">
        <v>18</v>
      </c>
      <c r="C70" s="19" t="s">
        <v>191</v>
      </c>
      <c r="D70" s="19" t="s">
        <v>191</v>
      </c>
      <c r="E70" s="19" t="s">
        <v>192</v>
      </c>
      <c r="F70" s="19" t="s">
        <v>193</v>
      </c>
      <c r="G70" s="20" t="s">
        <v>22</v>
      </c>
      <c r="H70" s="21" t="s">
        <v>23</v>
      </c>
      <c r="I70" s="32"/>
      <c r="J70" s="32"/>
      <c r="K70" s="32">
        <v>0</v>
      </c>
      <c r="L70" s="22"/>
      <c r="M70" s="23"/>
      <c r="N70" s="22"/>
      <c r="O70" s="20" t="s">
        <v>53</v>
      </c>
      <c r="P70" s="24"/>
      <c r="Q70" s="33">
        <v>37678.299999999996</v>
      </c>
    </row>
    <row r="71" spans="2:17" ht="26.25" x14ac:dyDescent="0.25">
      <c r="B71" s="18" t="s">
        <v>18</v>
      </c>
      <c r="C71" s="19" t="s">
        <v>194</v>
      </c>
      <c r="D71" s="19" t="s">
        <v>195</v>
      </c>
      <c r="E71" s="19" t="s">
        <v>196</v>
      </c>
      <c r="F71" s="19" t="s">
        <v>197</v>
      </c>
      <c r="G71" s="57" t="s">
        <v>22</v>
      </c>
      <c r="H71" s="58" t="s">
        <v>133</v>
      </c>
      <c r="I71" s="22">
        <v>184</v>
      </c>
      <c r="J71" s="22">
        <v>321.42</v>
      </c>
      <c r="K71" s="22">
        <f t="shared" si="2"/>
        <v>59141.280000000006</v>
      </c>
      <c r="L71" s="22"/>
      <c r="M71" s="23"/>
      <c r="N71" s="22"/>
      <c r="O71" s="57" t="s">
        <v>53</v>
      </c>
      <c r="P71" s="24"/>
      <c r="Q71" s="9"/>
    </row>
    <row r="72" spans="2:17" ht="26.25" x14ac:dyDescent="0.25">
      <c r="B72" s="18" t="s">
        <v>18</v>
      </c>
      <c r="C72" s="19" t="s">
        <v>194</v>
      </c>
      <c r="D72" s="19" t="s">
        <v>195</v>
      </c>
      <c r="E72" s="19" t="s">
        <v>198</v>
      </c>
      <c r="F72" s="19" t="s">
        <v>199</v>
      </c>
      <c r="G72" s="57" t="s">
        <v>22</v>
      </c>
      <c r="H72" s="58" t="s">
        <v>133</v>
      </c>
      <c r="I72" s="22">
        <v>178</v>
      </c>
      <c r="J72" s="22">
        <v>174.11</v>
      </c>
      <c r="K72" s="22">
        <f t="shared" si="2"/>
        <v>30991.58</v>
      </c>
      <c r="L72" s="22"/>
      <c r="M72" s="23"/>
      <c r="N72" s="22"/>
      <c r="O72" s="57" t="s">
        <v>53</v>
      </c>
      <c r="P72" s="24"/>
      <c r="Q72" s="9"/>
    </row>
    <row r="73" spans="2:17" ht="21.75" customHeight="1" x14ac:dyDescent="0.25">
      <c r="B73" s="18" t="s">
        <v>18</v>
      </c>
      <c r="C73" s="19" t="s">
        <v>200</v>
      </c>
      <c r="D73" s="19" t="s">
        <v>201</v>
      </c>
      <c r="E73" s="19" t="s">
        <v>202</v>
      </c>
      <c r="F73" s="19" t="s">
        <v>203</v>
      </c>
      <c r="G73" s="57" t="s">
        <v>22</v>
      </c>
      <c r="H73" s="58" t="s">
        <v>23</v>
      </c>
      <c r="I73" s="22">
        <v>11</v>
      </c>
      <c r="J73" s="22">
        <v>584.82000000000005</v>
      </c>
      <c r="K73" s="22">
        <f t="shared" si="2"/>
        <v>6433.02</v>
      </c>
      <c r="L73" s="22"/>
      <c r="M73" s="23"/>
      <c r="N73" s="22"/>
      <c r="O73" s="57" t="s">
        <v>53</v>
      </c>
      <c r="P73" s="24"/>
      <c r="Q73" s="9"/>
    </row>
    <row r="74" spans="2:17" ht="25.5" customHeight="1" x14ac:dyDescent="0.25">
      <c r="B74" s="18" t="s">
        <v>18</v>
      </c>
      <c r="C74" s="19" t="s">
        <v>204</v>
      </c>
      <c r="D74" s="19" t="s">
        <v>205</v>
      </c>
      <c r="E74" s="19" t="s">
        <v>204</v>
      </c>
      <c r="F74" s="19" t="s">
        <v>205</v>
      </c>
      <c r="G74" s="57" t="s">
        <v>22</v>
      </c>
      <c r="H74" s="58" t="s">
        <v>23</v>
      </c>
      <c r="I74" s="22">
        <v>20</v>
      </c>
      <c r="J74" s="22">
        <f>5625-3175</f>
        <v>2450</v>
      </c>
      <c r="K74" s="22">
        <f t="shared" si="2"/>
        <v>49000</v>
      </c>
      <c r="L74" s="22"/>
      <c r="M74" s="23"/>
      <c r="N74" s="22"/>
      <c r="O74" s="57" t="s">
        <v>53</v>
      </c>
      <c r="P74" s="24"/>
      <c r="Q74" s="9"/>
    </row>
    <row r="75" spans="2:17" ht="26.25" hidden="1" x14ac:dyDescent="0.25">
      <c r="B75" s="18" t="s">
        <v>18</v>
      </c>
      <c r="C75" s="19" t="s">
        <v>206</v>
      </c>
      <c r="D75" s="19" t="s">
        <v>206</v>
      </c>
      <c r="E75" s="19" t="s">
        <v>207</v>
      </c>
      <c r="F75" s="19" t="s">
        <v>208</v>
      </c>
      <c r="G75" s="20" t="s">
        <v>22</v>
      </c>
      <c r="H75" s="21" t="s">
        <v>23</v>
      </c>
      <c r="I75" s="32"/>
      <c r="J75" s="32"/>
      <c r="K75" s="32">
        <v>0</v>
      </c>
      <c r="L75" s="22"/>
      <c r="M75" s="23"/>
      <c r="N75" s="22"/>
      <c r="O75" s="20" t="s">
        <v>53</v>
      </c>
      <c r="P75" s="24"/>
      <c r="Q75" s="33">
        <f>Q70+J283</f>
        <v>37678.299999999996</v>
      </c>
    </row>
    <row r="76" spans="2:17" ht="26.25" hidden="1" x14ac:dyDescent="0.25">
      <c r="B76" s="18" t="s">
        <v>18</v>
      </c>
      <c r="C76" s="19" t="s">
        <v>206</v>
      </c>
      <c r="D76" s="19" t="s">
        <v>206</v>
      </c>
      <c r="E76" s="19" t="s">
        <v>209</v>
      </c>
      <c r="F76" s="19" t="s">
        <v>210</v>
      </c>
      <c r="G76" s="20" t="s">
        <v>22</v>
      </c>
      <c r="H76" s="21" t="s">
        <v>23</v>
      </c>
      <c r="I76" s="32"/>
      <c r="J76" s="32"/>
      <c r="K76" s="32">
        <v>0</v>
      </c>
      <c r="L76" s="22"/>
      <c r="M76" s="23"/>
      <c r="N76" s="22"/>
      <c r="O76" s="20" t="s">
        <v>53</v>
      </c>
      <c r="P76" s="24"/>
      <c r="Q76" s="34">
        <v>52669.65</v>
      </c>
    </row>
    <row r="77" spans="2:17" ht="23.25" customHeight="1" x14ac:dyDescent="0.25">
      <c r="B77" s="18" t="s">
        <v>18</v>
      </c>
      <c r="C77" s="19" t="s">
        <v>211</v>
      </c>
      <c r="D77" s="19" t="s">
        <v>212</v>
      </c>
      <c r="E77" s="19" t="s">
        <v>213</v>
      </c>
      <c r="F77" s="19" t="s">
        <v>214</v>
      </c>
      <c r="G77" s="57" t="s">
        <v>22</v>
      </c>
      <c r="H77" s="58" t="s">
        <v>133</v>
      </c>
      <c r="I77" s="22">
        <v>44</v>
      </c>
      <c r="J77" s="22">
        <v>169.64</v>
      </c>
      <c r="K77" s="22">
        <f t="shared" si="2"/>
        <v>7464.16</v>
      </c>
      <c r="L77" s="22"/>
      <c r="M77" s="23"/>
      <c r="N77" s="22"/>
      <c r="O77" s="57" t="s">
        <v>53</v>
      </c>
      <c r="P77" s="24"/>
      <c r="Q77" s="9"/>
    </row>
    <row r="78" spans="2:17" ht="23.25" customHeight="1" x14ac:dyDescent="0.25">
      <c r="B78" s="18" t="s">
        <v>18</v>
      </c>
      <c r="C78" s="19" t="s">
        <v>211</v>
      </c>
      <c r="D78" s="19" t="s">
        <v>212</v>
      </c>
      <c r="E78" s="19" t="s">
        <v>215</v>
      </c>
      <c r="F78" s="19" t="s">
        <v>216</v>
      </c>
      <c r="G78" s="57" t="s">
        <v>22</v>
      </c>
      <c r="H78" s="58" t="s">
        <v>133</v>
      </c>
      <c r="I78" s="22">
        <v>53</v>
      </c>
      <c r="J78" s="22">
        <v>415.18</v>
      </c>
      <c r="K78" s="22">
        <f t="shared" si="2"/>
        <v>22004.54</v>
      </c>
      <c r="L78" s="22"/>
      <c r="M78" s="23"/>
      <c r="N78" s="22"/>
      <c r="O78" s="57" t="s">
        <v>53</v>
      </c>
      <c r="P78" s="24"/>
      <c r="Q78" s="9"/>
    </row>
    <row r="79" spans="2:17" ht="26.25" x14ac:dyDescent="0.25">
      <c r="B79" s="18" t="s">
        <v>18</v>
      </c>
      <c r="C79" s="19" t="s">
        <v>217</v>
      </c>
      <c r="D79" s="19" t="s">
        <v>218</v>
      </c>
      <c r="E79" s="19" t="s">
        <v>219</v>
      </c>
      <c r="F79" s="19" t="s">
        <v>220</v>
      </c>
      <c r="G79" s="57" t="s">
        <v>22</v>
      </c>
      <c r="H79" s="58" t="s">
        <v>23</v>
      </c>
      <c r="I79" s="22">
        <v>86</v>
      </c>
      <c r="J79" s="22">
        <v>160.71</v>
      </c>
      <c r="K79" s="22">
        <f t="shared" si="2"/>
        <v>13821.060000000001</v>
      </c>
      <c r="L79" s="22"/>
      <c r="M79" s="23"/>
      <c r="N79" s="22"/>
      <c r="O79" s="57" t="s">
        <v>53</v>
      </c>
      <c r="P79" s="24"/>
      <c r="Q79" s="9"/>
    </row>
    <row r="80" spans="2:17" ht="26.25" hidden="1" x14ac:dyDescent="0.25">
      <c r="B80" s="18" t="s">
        <v>18</v>
      </c>
      <c r="C80" s="19" t="s">
        <v>124</v>
      </c>
      <c r="D80" s="19" t="s">
        <v>125</v>
      </c>
      <c r="E80" s="19" t="s">
        <v>221</v>
      </c>
      <c r="F80" s="19" t="s">
        <v>222</v>
      </c>
      <c r="G80" s="20" t="s">
        <v>22</v>
      </c>
      <c r="H80" s="21" t="s">
        <v>23</v>
      </c>
      <c r="I80" s="32"/>
      <c r="J80" s="32"/>
      <c r="K80" s="32">
        <v>0</v>
      </c>
      <c r="L80" s="22"/>
      <c r="M80" s="23"/>
      <c r="N80" s="22"/>
      <c r="O80" s="20" t="s">
        <v>53</v>
      </c>
      <c r="P80" s="24"/>
      <c r="Q80" s="34"/>
    </row>
    <row r="81" spans="2:17" ht="26.25" x14ac:dyDescent="0.25">
      <c r="B81" s="18" t="s">
        <v>18</v>
      </c>
      <c r="C81" s="19" t="s">
        <v>223</v>
      </c>
      <c r="D81" s="19" t="s">
        <v>223</v>
      </c>
      <c r="E81" s="19" t="s">
        <v>224</v>
      </c>
      <c r="F81" s="19" t="s">
        <v>225</v>
      </c>
      <c r="G81" s="57" t="s">
        <v>73</v>
      </c>
      <c r="H81" s="58" t="s">
        <v>23</v>
      </c>
      <c r="I81" s="22">
        <v>1000</v>
      </c>
      <c r="J81" s="22">
        <v>62.5</v>
      </c>
      <c r="K81" s="22">
        <f t="shared" si="2"/>
        <v>62500</v>
      </c>
      <c r="L81" s="22"/>
      <c r="M81" s="23"/>
      <c r="N81" s="22"/>
      <c r="O81" s="57" t="s">
        <v>53</v>
      </c>
      <c r="P81" s="24"/>
      <c r="Q81" s="9"/>
    </row>
    <row r="82" spans="2:17" ht="26.25" x14ac:dyDescent="0.25">
      <c r="B82" s="18" t="s">
        <v>18</v>
      </c>
      <c r="C82" s="19" t="s">
        <v>226</v>
      </c>
      <c r="D82" s="19" t="s">
        <v>227</v>
      </c>
      <c r="E82" s="19" t="s">
        <v>228</v>
      </c>
      <c r="F82" s="19" t="s">
        <v>229</v>
      </c>
      <c r="G82" s="57" t="s">
        <v>73</v>
      </c>
      <c r="H82" s="58" t="s">
        <v>23</v>
      </c>
      <c r="I82" s="22">
        <v>26</v>
      </c>
      <c r="J82" s="22">
        <v>214.29</v>
      </c>
      <c r="K82" s="22">
        <f t="shared" si="2"/>
        <v>5571.54</v>
      </c>
      <c r="L82" s="22"/>
      <c r="M82" s="23"/>
      <c r="N82" s="22"/>
      <c r="O82" s="57" t="s">
        <v>53</v>
      </c>
      <c r="P82" s="24"/>
      <c r="Q82" s="9"/>
    </row>
    <row r="83" spans="2:17" ht="23.25" customHeight="1" x14ac:dyDescent="0.25">
      <c r="B83" s="18" t="s">
        <v>18</v>
      </c>
      <c r="C83" s="19" t="s">
        <v>230</v>
      </c>
      <c r="D83" s="19" t="s">
        <v>231</v>
      </c>
      <c r="E83" s="19" t="s">
        <v>232</v>
      </c>
      <c r="F83" s="19" t="s">
        <v>233</v>
      </c>
      <c r="G83" s="57" t="s">
        <v>22</v>
      </c>
      <c r="H83" s="58" t="s">
        <v>23</v>
      </c>
      <c r="I83" s="22">
        <v>3</v>
      </c>
      <c r="J83" s="22">
        <v>803.56</v>
      </c>
      <c r="K83" s="22">
        <f t="shared" si="2"/>
        <v>2410.6799999999998</v>
      </c>
      <c r="L83" s="22"/>
      <c r="M83" s="23"/>
      <c r="N83" s="22"/>
      <c r="O83" s="57" t="s">
        <v>53</v>
      </c>
      <c r="P83" s="24"/>
      <c r="Q83" s="9"/>
    </row>
    <row r="84" spans="2:17" ht="26.25" hidden="1" x14ac:dyDescent="0.25">
      <c r="B84" s="18" t="s">
        <v>18</v>
      </c>
      <c r="C84" s="19" t="s">
        <v>234</v>
      </c>
      <c r="D84" s="19" t="s">
        <v>235</v>
      </c>
      <c r="E84" s="19" t="s">
        <v>236</v>
      </c>
      <c r="F84" s="19" t="s">
        <v>237</v>
      </c>
      <c r="G84" s="20" t="s">
        <v>22</v>
      </c>
      <c r="H84" s="21" t="s">
        <v>133</v>
      </c>
      <c r="I84" s="32"/>
      <c r="J84" s="32"/>
      <c r="K84" s="32">
        <v>0</v>
      </c>
      <c r="L84" s="22"/>
      <c r="M84" s="23"/>
      <c r="N84" s="22"/>
      <c r="O84" s="20" t="s">
        <v>53</v>
      </c>
      <c r="P84" s="24"/>
      <c r="Q84" s="34"/>
    </row>
    <row r="85" spans="2:17" ht="26.25" hidden="1" x14ac:dyDescent="0.25">
      <c r="B85" s="18" t="s">
        <v>18</v>
      </c>
      <c r="C85" s="19" t="s">
        <v>234</v>
      </c>
      <c r="D85" s="19" t="s">
        <v>235</v>
      </c>
      <c r="E85" s="19" t="s">
        <v>236</v>
      </c>
      <c r="F85" s="19" t="s">
        <v>238</v>
      </c>
      <c r="G85" s="20" t="s">
        <v>22</v>
      </c>
      <c r="H85" s="21" t="s">
        <v>133</v>
      </c>
      <c r="I85" s="32"/>
      <c r="J85" s="32"/>
      <c r="K85" s="32">
        <v>0</v>
      </c>
      <c r="L85" s="22"/>
      <c r="M85" s="23"/>
      <c r="N85" s="22"/>
      <c r="O85" s="20" t="s">
        <v>53</v>
      </c>
      <c r="P85" s="24"/>
      <c r="Q85" s="34"/>
    </row>
    <row r="86" spans="2:17" ht="26.25" hidden="1" x14ac:dyDescent="0.25">
      <c r="B86" s="18" t="s">
        <v>18</v>
      </c>
      <c r="C86" s="19" t="s">
        <v>211</v>
      </c>
      <c r="D86" s="19" t="s">
        <v>212</v>
      </c>
      <c r="E86" s="19" t="s">
        <v>239</v>
      </c>
      <c r="F86" s="19" t="s">
        <v>240</v>
      </c>
      <c r="G86" s="20" t="s">
        <v>22</v>
      </c>
      <c r="H86" s="21" t="s">
        <v>133</v>
      </c>
      <c r="I86" s="32"/>
      <c r="J86" s="32"/>
      <c r="K86" s="32">
        <v>0</v>
      </c>
      <c r="L86" s="22"/>
      <c r="M86" s="23"/>
      <c r="N86" s="22"/>
      <c r="O86" s="20" t="s">
        <v>53</v>
      </c>
      <c r="P86" s="24"/>
      <c r="Q86" s="34"/>
    </row>
    <row r="87" spans="2:17" ht="20.25" customHeight="1" x14ac:dyDescent="0.25">
      <c r="B87" s="18" t="s">
        <v>18</v>
      </c>
      <c r="C87" s="19" t="s">
        <v>241</v>
      </c>
      <c r="D87" s="19" t="s">
        <v>242</v>
      </c>
      <c r="E87" s="19" t="s">
        <v>243</v>
      </c>
      <c r="F87" s="19" t="s">
        <v>244</v>
      </c>
      <c r="G87" s="57" t="s">
        <v>22</v>
      </c>
      <c r="H87" s="58" t="s">
        <v>84</v>
      </c>
      <c r="I87" s="22">
        <v>27</v>
      </c>
      <c r="J87" s="22">
        <v>1473.2</v>
      </c>
      <c r="K87" s="22">
        <f t="shared" si="2"/>
        <v>39776.400000000001</v>
      </c>
      <c r="L87" s="22"/>
      <c r="M87" s="23"/>
      <c r="N87" s="22"/>
      <c r="O87" s="57" t="s">
        <v>53</v>
      </c>
      <c r="P87" s="24"/>
      <c r="Q87" s="9"/>
    </row>
    <row r="88" spans="2:17" ht="26.25" customHeight="1" x14ac:dyDescent="0.25">
      <c r="B88" s="18" t="s">
        <v>18</v>
      </c>
      <c r="C88" s="19" t="s">
        <v>245</v>
      </c>
      <c r="D88" s="19" t="s">
        <v>246</v>
      </c>
      <c r="E88" s="19" t="s">
        <v>247</v>
      </c>
      <c r="F88" s="19" t="s">
        <v>248</v>
      </c>
      <c r="G88" s="57" t="s">
        <v>22</v>
      </c>
      <c r="H88" s="58" t="s">
        <v>249</v>
      </c>
      <c r="I88" s="22">
        <v>7000</v>
      </c>
      <c r="J88" s="22">
        <v>251.87</v>
      </c>
      <c r="K88" s="22">
        <f t="shared" si="2"/>
        <v>1763090</v>
      </c>
      <c r="L88" s="22"/>
      <c r="M88" s="23"/>
      <c r="N88" s="22"/>
      <c r="O88" s="57" t="s">
        <v>53</v>
      </c>
      <c r="P88" s="24"/>
      <c r="Q88" s="9"/>
    </row>
    <row r="89" spans="2:17" ht="24.75" customHeight="1" x14ac:dyDescent="0.25">
      <c r="B89" s="18" t="s">
        <v>18</v>
      </c>
      <c r="C89" s="19" t="s">
        <v>250</v>
      </c>
      <c r="D89" s="19" t="s">
        <v>251</v>
      </c>
      <c r="E89" s="19" t="s">
        <v>252</v>
      </c>
      <c r="F89" s="19" t="s">
        <v>253</v>
      </c>
      <c r="G89" s="57" t="s">
        <v>22</v>
      </c>
      <c r="H89" s="58" t="s">
        <v>23</v>
      </c>
      <c r="I89" s="22">
        <v>3</v>
      </c>
      <c r="J89" s="22">
        <v>3160.7</v>
      </c>
      <c r="K89" s="22">
        <f t="shared" si="2"/>
        <v>9482.0999999999985</v>
      </c>
      <c r="L89" s="22"/>
      <c r="M89" s="23"/>
      <c r="N89" s="22"/>
      <c r="O89" s="57" t="s">
        <v>24</v>
      </c>
      <c r="P89" s="24"/>
      <c r="Q89" s="9"/>
    </row>
    <row r="90" spans="2:17" ht="24.75" customHeight="1" x14ac:dyDescent="0.25">
      <c r="B90" s="18" t="s">
        <v>18</v>
      </c>
      <c r="C90" s="19" t="s">
        <v>254</v>
      </c>
      <c r="D90" s="19" t="s">
        <v>255</v>
      </c>
      <c r="E90" s="19" t="s">
        <v>256</v>
      </c>
      <c r="F90" s="19" t="s">
        <v>257</v>
      </c>
      <c r="G90" s="57" t="s">
        <v>22</v>
      </c>
      <c r="H90" s="58" t="s">
        <v>23</v>
      </c>
      <c r="I90" s="22">
        <v>9</v>
      </c>
      <c r="J90" s="22">
        <v>3348.2</v>
      </c>
      <c r="K90" s="22">
        <f t="shared" si="2"/>
        <v>30133.8</v>
      </c>
      <c r="L90" s="22"/>
      <c r="M90" s="23"/>
      <c r="N90" s="22"/>
      <c r="O90" s="57" t="s">
        <v>53</v>
      </c>
      <c r="P90" s="24"/>
      <c r="Q90" s="25"/>
    </row>
    <row r="91" spans="2:17" ht="26.25" x14ac:dyDescent="0.25">
      <c r="B91" s="18" t="s">
        <v>18</v>
      </c>
      <c r="C91" s="19" t="s">
        <v>258</v>
      </c>
      <c r="D91" s="19" t="s">
        <v>259</v>
      </c>
      <c r="E91" s="19" t="s">
        <v>260</v>
      </c>
      <c r="F91" s="19" t="s">
        <v>261</v>
      </c>
      <c r="G91" s="57" t="s">
        <v>73</v>
      </c>
      <c r="H91" s="58" t="s">
        <v>262</v>
      </c>
      <c r="I91" s="22">
        <v>1</v>
      </c>
      <c r="J91" s="22">
        <v>36637704</v>
      </c>
      <c r="K91" s="22">
        <f t="shared" si="2"/>
        <v>36637704</v>
      </c>
      <c r="L91" s="22"/>
      <c r="M91" s="22"/>
      <c r="N91" s="22"/>
      <c r="O91" s="61" t="s">
        <v>27</v>
      </c>
      <c r="P91" s="24"/>
      <c r="Q91" s="25"/>
    </row>
    <row r="92" spans="2:17" ht="39" x14ac:dyDescent="0.25">
      <c r="B92" s="18" t="s">
        <v>18</v>
      </c>
      <c r="C92" s="19" t="s">
        <v>258</v>
      </c>
      <c r="D92" s="19" t="s">
        <v>259</v>
      </c>
      <c r="E92" s="19" t="s">
        <v>260</v>
      </c>
      <c r="F92" s="19" t="s">
        <v>261</v>
      </c>
      <c r="G92" s="57" t="s">
        <v>263</v>
      </c>
      <c r="H92" s="58" t="s">
        <v>262</v>
      </c>
      <c r="I92" s="22">
        <v>1</v>
      </c>
      <c r="J92" s="22">
        <v>3561999</v>
      </c>
      <c r="K92" s="22">
        <f t="shared" si="2"/>
        <v>3561999</v>
      </c>
      <c r="L92" s="22"/>
      <c r="M92" s="22"/>
      <c r="N92" s="22"/>
      <c r="O92" s="61" t="s">
        <v>79</v>
      </c>
      <c r="P92" s="24"/>
      <c r="Q92" s="25"/>
    </row>
    <row r="93" spans="2:17" ht="39.75" customHeight="1" x14ac:dyDescent="0.25">
      <c r="B93" s="18" t="s">
        <v>18</v>
      </c>
      <c r="C93" s="19" t="s">
        <v>264</v>
      </c>
      <c r="D93" s="19" t="s">
        <v>265</v>
      </c>
      <c r="E93" s="19" t="s">
        <v>266</v>
      </c>
      <c r="F93" s="19" t="s">
        <v>267</v>
      </c>
      <c r="G93" s="57" t="s">
        <v>22</v>
      </c>
      <c r="H93" s="58" t="s">
        <v>262</v>
      </c>
      <c r="I93" s="22">
        <v>1</v>
      </c>
      <c r="J93" s="22">
        <f>5916760.7+1133082.99</f>
        <v>7049843.6900000004</v>
      </c>
      <c r="K93" s="22">
        <f t="shared" si="2"/>
        <v>7049843.6900000004</v>
      </c>
      <c r="L93" s="22"/>
      <c r="M93" s="22"/>
      <c r="N93" s="22"/>
      <c r="O93" s="57" t="s">
        <v>79</v>
      </c>
      <c r="P93" s="24"/>
      <c r="Q93" s="25"/>
    </row>
    <row r="94" spans="2:17" ht="27" customHeight="1" x14ac:dyDescent="0.25">
      <c r="B94" s="18" t="s">
        <v>18</v>
      </c>
      <c r="C94" s="19" t="s">
        <v>268</v>
      </c>
      <c r="D94" s="19" t="s">
        <v>269</v>
      </c>
      <c r="E94" s="19" t="s">
        <v>270</v>
      </c>
      <c r="F94" s="19" t="s">
        <v>271</v>
      </c>
      <c r="G94" s="57" t="s">
        <v>272</v>
      </c>
      <c r="H94" s="58" t="s">
        <v>262</v>
      </c>
      <c r="I94" s="22">
        <v>1</v>
      </c>
      <c r="J94" s="22">
        <v>20800000</v>
      </c>
      <c r="K94" s="22">
        <f t="shared" si="2"/>
        <v>20800000</v>
      </c>
      <c r="L94" s="22"/>
      <c r="M94" s="22"/>
      <c r="N94" s="22"/>
      <c r="O94" s="57" t="s">
        <v>27</v>
      </c>
      <c r="P94" s="24"/>
      <c r="Q94" s="25"/>
    </row>
    <row r="95" spans="2:17" ht="26.25" customHeight="1" x14ac:dyDescent="0.25">
      <c r="B95" s="18" t="s">
        <v>18</v>
      </c>
      <c r="C95" s="19" t="s">
        <v>268</v>
      </c>
      <c r="D95" s="19" t="s">
        <v>269</v>
      </c>
      <c r="E95" s="19" t="s">
        <v>273</v>
      </c>
      <c r="F95" s="19" t="s">
        <v>274</v>
      </c>
      <c r="G95" s="57" t="s">
        <v>272</v>
      </c>
      <c r="H95" s="58" t="s">
        <v>262</v>
      </c>
      <c r="I95" s="22">
        <v>1</v>
      </c>
      <c r="J95" s="22">
        <v>7350000</v>
      </c>
      <c r="K95" s="22">
        <f t="shared" si="2"/>
        <v>7350000</v>
      </c>
      <c r="L95" s="22"/>
      <c r="M95" s="22"/>
      <c r="N95" s="22"/>
      <c r="O95" s="57" t="s">
        <v>27</v>
      </c>
      <c r="P95" s="24"/>
      <c r="Q95" s="25"/>
    </row>
    <row r="96" spans="2:17" ht="30.75" customHeight="1" x14ac:dyDescent="0.25">
      <c r="B96" s="18" t="s">
        <v>18</v>
      </c>
      <c r="C96" s="19" t="s">
        <v>275</v>
      </c>
      <c r="D96" s="19" t="s">
        <v>276</v>
      </c>
      <c r="E96" s="19" t="s">
        <v>277</v>
      </c>
      <c r="F96" s="19" t="s">
        <v>278</v>
      </c>
      <c r="G96" s="57" t="s">
        <v>73</v>
      </c>
      <c r="H96" s="58" t="s">
        <v>262</v>
      </c>
      <c r="I96" s="22">
        <v>1</v>
      </c>
      <c r="J96" s="22">
        <v>9240000</v>
      </c>
      <c r="K96" s="22">
        <f t="shared" si="2"/>
        <v>9240000</v>
      </c>
      <c r="L96" s="22"/>
      <c r="M96" s="22"/>
      <c r="N96" s="22"/>
      <c r="O96" s="57" t="s">
        <v>279</v>
      </c>
      <c r="P96" s="24"/>
      <c r="Q96" s="25"/>
    </row>
    <row r="97" spans="2:18" ht="26.25" x14ac:dyDescent="0.25">
      <c r="B97" s="18" t="s">
        <v>18</v>
      </c>
      <c r="C97" s="19" t="s">
        <v>268</v>
      </c>
      <c r="D97" s="19" t="s">
        <v>269</v>
      </c>
      <c r="E97" s="19" t="s">
        <v>281</v>
      </c>
      <c r="F97" s="19" t="s">
        <v>282</v>
      </c>
      <c r="G97" s="57" t="s">
        <v>272</v>
      </c>
      <c r="H97" s="58" t="s">
        <v>262</v>
      </c>
      <c r="I97" s="22">
        <v>1</v>
      </c>
      <c r="J97" s="22">
        <v>44000000</v>
      </c>
      <c r="K97" s="22">
        <f t="shared" si="2"/>
        <v>44000000</v>
      </c>
      <c r="L97" s="22"/>
      <c r="M97" s="22"/>
      <c r="N97" s="22"/>
      <c r="O97" s="57" t="s">
        <v>283</v>
      </c>
      <c r="P97" s="24"/>
      <c r="Q97" s="25"/>
      <c r="R97" s="9"/>
    </row>
    <row r="98" spans="2:18" ht="39" x14ac:dyDescent="0.25">
      <c r="B98" s="18" t="s">
        <v>18</v>
      </c>
      <c r="C98" s="19" t="s">
        <v>284</v>
      </c>
      <c r="D98" s="19" t="s">
        <v>285</v>
      </c>
      <c r="E98" s="19" t="s">
        <v>286</v>
      </c>
      <c r="F98" s="19" t="s">
        <v>287</v>
      </c>
      <c r="G98" s="57" t="s">
        <v>73</v>
      </c>
      <c r="H98" s="58" t="s">
        <v>262</v>
      </c>
      <c r="I98" s="22">
        <v>1</v>
      </c>
      <c r="J98" s="22">
        <f>38571489.2-24107203.5</f>
        <v>14464285.700000003</v>
      </c>
      <c r="K98" s="22">
        <f t="shared" si="2"/>
        <v>14464285.700000003</v>
      </c>
      <c r="L98" s="22"/>
      <c r="M98" s="22"/>
      <c r="N98" s="22"/>
      <c r="O98" s="57" t="s">
        <v>53</v>
      </c>
      <c r="P98" s="24"/>
      <c r="Q98" s="25"/>
      <c r="R98" s="9"/>
    </row>
    <row r="99" spans="2:18" ht="26.25" x14ac:dyDescent="0.25">
      <c r="B99" s="18" t="s">
        <v>18</v>
      </c>
      <c r="C99" s="19" t="s">
        <v>288</v>
      </c>
      <c r="D99" s="19" t="s">
        <v>289</v>
      </c>
      <c r="E99" s="19" t="s">
        <v>290</v>
      </c>
      <c r="F99" s="19" t="s">
        <v>291</v>
      </c>
      <c r="G99" s="57" t="s">
        <v>73</v>
      </c>
      <c r="H99" s="58" t="s">
        <v>262</v>
      </c>
      <c r="I99" s="22">
        <v>1</v>
      </c>
      <c r="J99" s="22">
        <v>249600</v>
      </c>
      <c r="K99" s="22">
        <f t="shared" si="2"/>
        <v>249600</v>
      </c>
      <c r="L99" s="22"/>
      <c r="M99" s="22"/>
      <c r="N99" s="22"/>
      <c r="O99" s="57" t="s">
        <v>27</v>
      </c>
      <c r="P99" s="24"/>
      <c r="Q99" s="25"/>
      <c r="R99" s="9"/>
    </row>
    <row r="100" spans="2:18" ht="26.25" x14ac:dyDescent="0.25">
      <c r="B100" s="18" t="s">
        <v>18</v>
      </c>
      <c r="C100" s="19" t="s">
        <v>288</v>
      </c>
      <c r="D100" s="19" t="s">
        <v>289</v>
      </c>
      <c r="E100" s="19" t="s">
        <v>292</v>
      </c>
      <c r="F100" s="19" t="s">
        <v>293</v>
      </c>
      <c r="G100" s="57" t="s">
        <v>73</v>
      </c>
      <c r="H100" s="58" t="s">
        <v>262</v>
      </c>
      <c r="I100" s="22">
        <v>1</v>
      </c>
      <c r="J100" s="22">
        <v>417600</v>
      </c>
      <c r="K100" s="22">
        <f t="shared" si="2"/>
        <v>417600</v>
      </c>
      <c r="L100" s="22"/>
      <c r="M100" s="22"/>
      <c r="N100" s="22"/>
      <c r="O100" s="57" t="s">
        <v>27</v>
      </c>
      <c r="P100" s="37"/>
      <c r="Q100" s="25"/>
      <c r="R100" s="9"/>
    </row>
    <row r="101" spans="2:18" ht="39" x14ac:dyDescent="0.25">
      <c r="B101" s="18" t="s">
        <v>18</v>
      </c>
      <c r="C101" s="19" t="s">
        <v>294</v>
      </c>
      <c r="D101" s="19" t="s">
        <v>295</v>
      </c>
      <c r="E101" s="19" t="s">
        <v>296</v>
      </c>
      <c r="F101" s="19" t="s">
        <v>297</v>
      </c>
      <c r="G101" s="57" t="s">
        <v>73</v>
      </c>
      <c r="H101" s="58" t="s">
        <v>262</v>
      </c>
      <c r="I101" s="22">
        <v>1</v>
      </c>
      <c r="J101" s="22">
        <v>102240</v>
      </c>
      <c r="K101" s="22">
        <f t="shared" si="2"/>
        <v>102240</v>
      </c>
      <c r="L101" s="22"/>
      <c r="M101" s="22"/>
      <c r="N101" s="22"/>
      <c r="O101" s="57" t="s">
        <v>27</v>
      </c>
      <c r="P101" s="37"/>
      <c r="Q101" s="25"/>
      <c r="R101" s="9"/>
    </row>
    <row r="102" spans="2:18" ht="26.25" x14ac:dyDescent="0.25">
      <c r="B102" s="18" t="s">
        <v>18</v>
      </c>
      <c r="C102" s="19" t="s">
        <v>298</v>
      </c>
      <c r="D102" s="19" t="s">
        <v>299</v>
      </c>
      <c r="E102" s="19" t="s">
        <v>300</v>
      </c>
      <c r="F102" s="19" t="s">
        <v>301</v>
      </c>
      <c r="G102" s="57" t="s">
        <v>22</v>
      </c>
      <c r="H102" s="58" t="s">
        <v>302</v>
      </c>
      <c r="I102" s="22">
        <v>1</v>
      </c>
      <c r="J102" s="22">
        <v>425680.49999999977</v>
      </c>
      <c r="K102" s="22">
        <f t="shared" si="2"/>
        <v>425680.49999999977</v>
      </c>
      <c r="L102" s="22"/>
      <c r="M102" s="22"/>
      <c r="N102" s="22"/>
      <c r="O102" s="57" t="s">
        <v>27</v>
      </c>
      <c r="P102" s="24"/>
      <c r="Q102" s="25"/>
      <c r="R102" s="9"/>
    </row>
    <row r="103" spans="2:18" ht="26.25" x14ac:dyDescent="0.25">
      <c r="B103" s="18" t="s">
        <v>18</v>
      </c>
      <c r="C103" s="19" t="s">
        <v>298</v>
      </c>
      <c r="D103" s="19" t="s">
        <v>299</v>
      </c>
      <c r="E103" s="19" t="s">
        <v>303</v>
      </c>
      <c r="F103" s="19" t="s">
        <v>304</v>
      </c>
      <c r="G103" s="57" t="s">
        <v>22</v>
      </c>
      <c r="H103" s="58" t="s">
        <v>302</v>
      </c>
      <c r="I103" s="22">
        <v>1</v>
      </c>
      <c r="J103" s="22">
        <v>1586850</v>
      </c>
      <c r="K103" s="22">
        <f t="shared" si="2"/>
        <v>1586850</v>
      </c>
      <c r="L103" s="22"/>
      <c r="M103" s="22"/>
      <c r="N103" s="22"/>
      <c r="O103" s="57" t="s">
        <v>27</v>
      </c>
      <c r="P103" s="37"/>
      <c r="Q103" s="25"/>
      <c r="R103" s="9"/>
    </row>
    <row r="104" spans="2:18" ht="26.25" x14ac:dyDescent="0.25">
      <c r="B104" s="18" t="s">
        <v>18</v>
      </c>
      <c r="C104" s="19" t="s">
        <v>305</v>
      </c>
      <c r="D104" s="19" t="s">
        <v>306</v>
      </c>
      <c r="E104" s="38" t="s">
        <v>307</v>
      </c>
      <c r="F104" s="19" t="s">
        <v>308</v>
      </c>
      <c r="G104" s="57" t="s">
        <v>22</v>
      </c>
      <c r="H104" s="58" t="s">
        <v>262</v>
      </c>
      <c r="I104" s="22">
        <v>1</v>
      </c>
      <c r="J104" s="22">
        <v>2527990</v>
      </c>
      <c r="K104" s="22">
        <f t="shared" si="2"/>
        <v>2527990</v>
      </c>
      <c r="L104" s="22"/>
      <c r="M104" s="22"/>
      <c r="N104" s="22"/>
      <c r="O104" s="57" t="s">
        <v>53</v>
      </c>
      <c r="P104" s="37"/>
      <c r="Q104" s="25"/>
      <c r="R104" s="9"/>
    </row>
    <row r="105" spans="2:18" ht="26.25" x14ac:dyDescent="0.25">
      <c r="B105" s="18" t="s">
        <v>18</v>
      </c>
      <c r="C105" s="19" t="s">
        <v>309</v>
      </c>
      <c r="D105" s="19" t="s">
        <v>310</v>
      </c>
      <c r="E105" s="19" t="s">
        <v>311</v>
      </c>
      <c r="F105" s="19" t="s">
        <v>312</v>
      </c>
      <c r="G105" s="57" t="s">
        <v>73</v>
      </c>
      <c r="H105" s="58" t="s">
        <v>262</v>
      </c>
      <c r="I105" s="22">
        <v>1</v>
      </c>
      <c r="J105" s="22">
        <v>9800</v>
      </c>
      <c r="K105" s="22">
        <f t="shared" si="2"/>
        <v>9800</v>
      </c>
      <c r="L105" s="22"/>
      <c r="M105" s="22"/>
      <c r="N105" s="22"/>
      <c r="O105" s="57" t="s">
        <v>27</v>
      </c>
      <c r="P105" s="37"/>
      <c r="Q105" s="25"/>
      <c r="R105" s="9"/>
    </row>
    <row r="106" spans="2:18" ht="26.25" x14ac:dyDescent="0.25">
      <c r="B106" s="18" t="s">
        <v>18</v>
      </c>
      <c r="C106" s="19" t="s">
        <v>309</v>
      </c>
      <c r="D106" s="19" t="s">
        <v>310</v>
      </c>
      <c r="E106" s="19" t="s">
        <v>313</v>
      </c>
      <c r="F106" s="19" t="s">
        <v>314</v>
      </c>
      <c r="G106" s="57" t="s">
        <v>73</v>
      </c>
      <c r="H106" s="58" t="s">
        <v>262</v>
      </c>
      <c r="I106" s="22">
        <v>1</v>
      </c>
      <c r="J106" s="22">
        <v>9800</v>
      </c>
      <c r="K106" s="22">
        <f t="shared" si="2"/>
        <v>9800</v>
      </c>
      <c r="L106" s="22"/>
      <c r="M106" s="22"/>
      <c r="N106" s="22"/>
      <c r="O106" s="57" t="s">
        <v>27</v>
      </c>
      <c r="P106" s="37"/>
      <c r="Q106" s="25"/>
      <c r="R106" s="9"/>
    </row>
    <row r="107" spans="2:18" ht="26.25" x14ac:dyDescent="0.25">
      <c r="B107" s="18" t="s">
        <v>18</v>
      </c>
      <c r="C107" s="19" t="s">
        <v>315</v>
      </c>
      <c r="D107" s="19" t="s">
        <v>316</v>
      </c>
      <c r="E107" s="19" t="s">
        <v>317</v>
      </c>
      <c r="F107" s="19" t="s">
        <v>318</v>
      </c>
      <c r="G107" s="57" t="s">
        <v>73</v>
      </c>
      <c r="H107" s="58" t="s">
        <v>262</v>
      </c>
      <c r="I107" s="22">
        <v>1</v>
      </c>
      <c r="J107" s="22">
        <v>30000</v>
      </c>
      <c r="K107" s="22">
        <f t="shared" si="2"/>
        <v>30000</v>
      </c>
      <c r="L107" s="22"/>
      <c r="M107" s="22"/>
      <c r="N107" s="22"/>
      <c r="O107" s="57" t="s">
        <v>319</v>
      </c>
      <c r="P107" s="37"/>
      <c r="Q107" s="25"/>
      <c r="R107" s="9"/>
    </row>
    <row r="108" spans="2:18" ht="39" x14ac:dyDescent="0.25">
      <c r="B108" s="18" t="s">
        <v>18</v>
      </c>
      <c r="C108" s="19" t="s">
        <v>315</v>
      </c>
      <c r="D108" s="19" t="s">
        <v>316</v>
      </c>
      <c r="E108" s="19" t="s">
        <v>320</v>
      </c>
      <c r="F108" s="19" t="s">
        <v>321</v>
      </c>
      <c r="G108" s="57" t="s">
        <v>73</v>
      </c>
      <c r="H108" s="58" t="s">
        <v>262</v>
      </c>
      <c r="I108" s="22">
        <v>1</v>
      </c>
      <c r="J108" s="22">
        <v>56000</v>
      </c>
      <c r="K108" s="22">
        <f t="shared" si="2"/>
        <v>56000</v>
      </c>
      <c r="L108" s="22"/>
      <c r="M108" s="22"/>
      <c r="N108" s="22"/>
      <c r="O108" s="57" t="s">
        <v>319</v>
      </c>
      <c r="P108" s="37"/>
      <c r="Q108" s="25"/>
      <c r="R108" s="9"/>
    </row>
    <row r="109" spans="2:18" ht="39" x14ac:dyDescent="0.25">
      <c r="B109" s="18" t="s">
        <v>18</v>
      </c>
      <c r="C109" s="19" t="s">
        <v>315</v>
      </c>
      <c r="D109" s="19" t="s">
        <v>316</v>
      </c>
      <c r="E109" s="19" t="s">
        <v>322</v>
      </c>
      <c r="F109" s="19" t="s">
        <v>323</v>
      </c>
      <c r="G109" s="57" t="s">
        <v>73</v>
      </c>
      <c r="H109" s="58" t="s">
        <v>262</v>
      </c>
      <c r="I109" s="22">
        <v>1</v>
      </c>
      <c r="J109" s="22">
        <f>848214.29+376607.14+500000</f>
        <v>1724821.4300000002</v>
      </c>
      <c r="K109" s="22">
        <f t="shared" si="2"/>
        <v>1724821.4300000002</v>
      </c>
      <c r="L109" s="22"/>
      <c r="M109" s="22"/>
      <c r="N109" s="22"/>
      <c r="O109" s="61" t="s">
        <v>324</v>
      </c>
      <c r="P109" s="37"/>
      <c r="Q109" s="25"/>
      <c r="R109" s="9"/>
    </row>
    <row r="110" spans="2:18" s="41" customFormat="1" ht="25.5" hidden="1" x14ac:dyDescent="0.2">
      <c r="B110" s="18" t="s">
        <v>18</v>
      </c>
      <c r="C110" s="19" t="s">
        <v>315</v>
      </c>
      <c r="D110" s="19" t="s">
        <v>316</v>
      </c>
      <c r="E110" s="19" t="s">
        <v>325</v>
      </c>
      <c r="F110" s="19" t="s">
        <v>326</v>
      </c>
      <c r="G110" s="20" t="s">
        <v>22</v>
      </c>
      <c r="H110" s="21" t="s">
        <v>262</v>
      </c>
      <c r="I110" s="32">
        <v>0</v>
      </c>
      <c r="J110" s="32"/>
      <c r="K110" s="32">
        <f t="shared" si="2"/>
        <v>0</v>
      </c>
      <c r="L110" s="39"/>
      <c r="M110" s="39"/>
      <c r="N110" s="39"/>
      <c r="O110" s="35" t="s">
        <v>324</v>
      </c>
      <c r="P110" s="40"/>
      <c r="Q110" s="25"/>
    </row>
    <row r="111" spans="2:18" s="41" customFormat="1" ht="25.5" hidden="1" x14ac:dyDescent="0.2">
      <c r="B111" s="18" t="s">
        <v>18</v>
      </c>
      <c r="C111" s="19" t="s">
        <v>315</v>
      </c>
      <c r="D111" s="19" t="s">
        <v>316</v>
      </c>
      <c r="E111" s="19" t="s">
        <v>327</v>
      </c>
      <c r="F111" s="19" t="s">
        <v>328</v>
      </c>
      <c r="G111" s="20" t="s">
        <v>22</v>
      </c>
      <c r="H111" s="21" t="s">
        <v>262</v>
      </c>
      <c r="I111" s="32">
        <v>0</v>
      </c>
      <c r="J111" s="32"/>
      <c r="K111" s="32">
        <f t="shared" si="2"/>
        <v>0</v>
      </c>
      <c r="L111" s="39"/>
      <c r="M111" s="39"/>
      <c r="N111" s="39"/>
      <c r="O111" s="35" t="s">
        <v>324</v>
      </c>
      <c r="P111" s="37"/>
      <c r="Q111" s="25"/>
    </row>
    <row r="112" spans="2:18" s="41" customFormat="1" ht="38.25" hidden="1" x14ac:dyDescent="0.2">
      <c r="B112" s="18" t="s">
        <v>18</v>
      </c>
      <c r="C112" s="19" t="s">
        <v>315</v>
      </c>
      <c r="D112" s="19" t="s">
        <v>316</v>
      </c>
      <c r="E112" s="19" t="s">
        <v>329</v>
      </c>
      <c r="F112" s="19" t="s">
        <v>330</v>
      </c>
      <c r="G112" s="20" t="s">
        <v>73</v>
      </c>
      <c r="H112" s="21" t="s">
        <v>262</v>
      </c>
      <c r="I112" s="32">
        <v>0</v>
      </c>
      <c r="J112" s="32"/>
      <c r="K112" s="32">
        <v>0</v>
      </c>
      <c r="L112" s="39"/>
      <c r="M112" s="39"/>
      <c r="N112" s="39"/>
      <c r="O112" s="35" t="s">
        <v>324</v>
      </c>
      <c r="P112" s="40"/>
      <c r="Q112" s="25"/>
    </row>
    <row r="113" spans="2:18" s="41" customFormat="1" ht="25.5" hidden="1" x14ac:dyDescent="0.2">
      <c r="B113" s="18" t="s">
        <v>18</v>
      </c>
      <c r="C113" s="19" t="s">
        <v>315</v>
      </c>
      <c r="D113" s="19" t="s">
        <v>316</v>
      </c>
      <c r="E113" s="19" t="s">
        <v>331</v>
      </c>
      <c r="F113" s="19" t="s">
        <v>332</v>
      </c>
      <c r="G113" s="20" t="s">
        <v>73</v>
      </c>
      <c r="H113" s="21" t="s">
        <v>262</v>
      </c>
      <c r="I113" s="32">
        <v>0</v>
      </c>
      <c r="J113" s="32"/>
      <c r="K113" s="32">
        <v>0</v>
      </c>
      <c r="L113" s="39"/>
      <c r="M113" s="39"/>
      <c r="N113" s="39"/>
      <c r="O113" s="35" t="s">
        <v>333</v>
      </c>
      <c r="P113" s="40"/>
      <c r="Q113" s="25"/>
    </row>
    <row r="114" spans="2:18" s="41" customFormat="1" ht="25.5" hidden="1" x14ac:dyDescent="0.2">
      <c r="B114" s="18" t="s">
        <v>18</v>
      </c>
      <c r="C114" s="19" t="s">
        <v>315</v>
      </c>
      <c r="D114" s="19" t="s">
        <v>316</v>
      </c>
      <c r="E114" s="19" t="s">
        <v>334</v>
      </c>
      <c r="F114" s="19" t="s">
        <v>335</v>
      </c>
      <c r="G114" s="20" t="s">
        <v>73</v>
      </c>
      <c r="H114" s="21" t="s">
        <v>262</v>
      </c>
      <c r="I114" s="32">
        <v>0</v>
      </c>
      <c r="J114" s="32"/>
      <c r="K114" s="32">
        <v>0</v>
      </c>
      <c r="L114" s="39"/>
      <c r="M114" s="39"/>
      <c r="N114" s="39"/>
      <c r="O114" s="35" t="s">
        <v>324</v>
      </c>
      <c r="P114" s="40"/>
      <c r="Q114" s="25"/>
    </row>
    <row r="115" spans="2:18" ht="26.25" x14ac:dyDescent="0.25">
      <c r="B115" s="18" t="s">
        <v>18</v>
      </c>
      <c r="C115" s="19" t="s">
        <v>315</v>
      </c>
      <c r="D115" s="19" t="s">
        <v>316</v>
      </c>
      <c r="E115" s="19" t="s">
        <v>336</v>
      </c>
      <c r="F115" s="19" t="s">
        <v>337</v>
      </c>
      <c r="G115" s="57" t="s">
        <v>73</v>
      </c>
      <c r="H115" s="58" t="s">
        <v>262</v>
      </c>
      <c r="I115" s="22">
        <v>1</v>
      </c>
      <c r="J115" s="22">
        <v>329000</v>
      </c>
      <c r="K115" s="22">
        <f t="shared" ref="K115:K145" si="3">I115*J115</f>
        <v>329000</v>
      </c>
      <c r="L115" s="22"/>
      <c r="M115" s="22"/>
      <c r="N115" s="22"/>
      <c r="O115" s="61" t="s">
        <v>324</v>
      </c>
      <c r="P115" s="37"/>
      <c r="Q115" s="25"/>
      <c r="R115" s="25"/>
    </row>
    <row r="116" spans="2:18" ht="26.25" x14ac:dyDescent="0.25">
      <c r="B116" s="18" t="s">
        <v>18</v>
      </c>
      <c r="C116" s="19" t="s">
        <v>315</v>
      </c>
      <c r="D116" s="19" t="s">
        <v>316</v>
      </c>
      <c r="E116" s="19" t="s">
        <v>338</v>
      </c>
      <c r="F116" s="19" t="s">
        <v>339</v>
      </c>
      <c r="G116" s="57" t="s">
        <v>73</v>
      </c>
      <c r="H116" s="58" t="s">
        <v>262</v>
      </c>
      <c r="I116" s="22">
        <v>1</v>
      </c>
      <c r="J116" s="22">
        <v>360000</v>
      </c>
      <c r="K116" s="22">
        <f t="shared" si="3"/>
        <v>360000</v>
      </c>
      <c r="L116" s="22"/>
      <c r="M116" s="22"/>
      <c r="N116" s="22"/>
      <c r="O116" s="61" t="s">
        <v>333</v>
      </c>
      <c r="P116" s="37"/>
      <c r="Q116" s="25"/>
      <c r="R116" s="9"/>
    </row>
    <row r="117" spans="2:18" ht="27.75" customHeight="1" x14ac:dyDescent="0.25">
      <c r="B117" s="18" t="s">
        <v>18</v>
      </c>
      <c r="C117" s="19" t="s">
        <v>315</v>
      </c>
      <c r="D117" s="19" t="s">
        <v>316</v>
      </c>
      <c r="E117" s="19" t="s">
        <v>340</v>
      </c>
      <c r="F117" s="19" t="s">
        <v>341</v>
      </c>
      <c r="G117" s="57" t="s">
        <v>73</v>
      </c>
      <c r="H117" s="58" t="s">
        <v>262</v>
      </c>
      <c r="I117" s="22">
        <v>1</v>
      </c>
      <c r="J117" s="22">
        <v>700000</v>
      </c>
      <c r="K117" s="22">
        <f t="shared" si="3"/>
        <v>700000</v>
      </c>
      <c r="L117" s="22"/>
      <c r="M117" s="22"/>
      <c r="N117" s="22"/>
      <c r="O117" s="61" t="s">
        <v>333</v>
      </c>
      <c r="P117" s="37"/>
      <c r="Q117" s="25"/>
      <c r="R117" s="9"/>
    </row>
    <row r="118" spans="2:18" ht="26.25" x14ac:dyDescent="0.25">
      <c r="B118" s="18" t="s">
        <v>18</v>
      </c>
      <c r="C118" s="19" t="s">
        <v>315</v>
      </c>
      <c r="D118" s="19" t="s">
        <v>316</v>
      </c>
      <c r="E118" s="19" t="s">
        <v>342</v>
      </c>
      <c r="F118" s="19" t="s">
        <v>343</v>
      </c>
      <c r="G118" s="57" t="s">
        <v>73</v>
      </c>
      <c r="H118" s="58" t="s">
        <v>262</v>
      </c>
      <c r="I118" s="22">
        <v>1</v>
      </c>
      <c r="J118" s="22">
        <v>375000</v>
      </c>
      <c r="K118" s="22">
        <f t="shared" si="3"/>
        <v>375000</v>
      </c>
      <c r="L118" s="22"/>
      <c r="M118" s="22"/>
      <c r="N118" s="22"/>
      <c r="O118" s="61" t="s">
        <v>333</v>
      </c>
      <c r="P118" s="37"/>
      <c r="Q118" s="25"/>
      <c r="R118" s="9"/>
    </row>
    <row r="119" spans="2:18" ht="51.75" x14ac:dyDescent="0.25">
      <c r="B119" s="18" t="s">
        <v>18</v>
      </c>
      <c r="C119" s="19" t="s">
        <v>315</v>
      </c>
      <c r="D119" s="19" t="s">
        <v>316</v>
      </c>
      <c r="E119" s="19" t="s">
        <v>344</v>
      </c>
      <c r="F119" s="19" t="s">
        <v>345</v>
      </c>
      <c r="G119" s="57" t="s">
        <v>73</v>
      </c>
      <c r="H119" s="58" t="s">
        <v>262</v>
      </c>
      <c r="I119" s="22">
        <v>1</v>
      </c>
      <c r="J119" s="22">
        <v>4999999</v>
      </c>
      <c r="K119" s="22">
        <f t="shared" si="3"/>
        <v>4999999</v>
      </c>
      <c r="L119" s="22"/>
      <c r="M119" s="22"/>
      <c r="N119" s="22"/>
      <c r="O119" s="61" t="s">
        <v>333</v>
      </c>
      <c r="P119" s="37"/>
      <c r="Q119" s="25"/>
      <c r="R119" s="9"/>
    </row>
    <row r="120" spans="2:18" ht="26.25" hidden="1" x14ac:dyDescent="0.25">
      <c r="B120" s="18" t="s">
        <v>18</v>
      </c>
      <c r="C120" s="19" t="s">
        <v>315</v>
      </c>
      <c r="D120" s="19" t="s">
        <v>316</v>
      </c>
      <c r="E120" s="19" t="s">
        <v>346</v>
      </c>
      <c r="F120" s="19" t="s">
        <v>347</v>
      </c>
      <c r="G120" s="20" t="s">
        <v>22</v>
      </c>
      <c r="H120" s="21" t="s">
        <v>262</v>
      </c>
      <c r="I120" s="32">
        <v>0</v>
      </c>
      <c r="J120" s="32">
        <f>329000-329000</f>
        <v>0</v>
      </c>
      <c r="K120" s="32">
        <f t="shared" si="3"/>
        <v>0</v>
      </c>
      <c r="L120" s="22"/>
      <c r="M120" s="23"/>
      <c r="N120" s="22"/>
      <c r="O120" s="35" t="s">
        <v>324</v>
      </c>
      <c r="P120" s="37"/>
      <c r="Q120" s="25"/>
      <c r="R120" s="9"/>
    </row>
    <row r="121" spans="2:18" ht="26.25" hidden="1" x14ac:dyDescent="0.25">
      <c r="B121" s="18" t="s">
        <v>18</v>
      </c>
      <c r="C121" s="19" t="s">
        <v>315</v>
      </c>
      <c r="D121" s="19" t="s">
        <v>316</v>
      </c>
      <c r="E121" s="19" t="s">
        <v>348</v>
      </c>
      <c r="F121" s="19" t="s">
        <v>349</v>
      </c>
      <c r="G121" s="20" t="s">
        <v>22</v>
      </c>
      <c r="H121" s="21" t="s">
        <v>262</v>
      </c>
      <c r="I121" s="32">
        <v>0</v>
      </c>
      <c r="J121" s="32">
        <f>262500-262500</f>
        <v>0</v>
      </c>
      <c r="K121" s="32">
        <f t="shared" si="3"/>
        <v>0</v>
      </c>
      <c r="L121" s="22"/>
      <c r="M121" s="23"/>
      <c r="N121" s="22"/>
      <c r="O121" s="35" t="s">
        <v>324</v>
      </c>
      <c r="P121" s="37"/>
      <c r="Q121" s="25"/>
      <c r="R121" s="9"/>
    </row>
    <row r="122" spans="2:18" ht="26.25" hidden="1" x14ac:dyDescent="0.25">
      <c r="B122" s="18" t="s">
        <v>18</v>
      </c>
      <c r="C122" s="19" t="s">
        <v>315</v>
      </c>
      <c r="D122" s="19" t="s">
        <v>316</v>
      </c>
      <c r="E122" s="19" t="s">
        <v>350</v>
      </c>
      <c r="F122" s="19" t="s">
        <v>351</v>
      </c>
      <c r="G122" s="20" t="s">
        <v>22</v>
      </c>
      <c r="H122" s="21" t="s">
        <v>262</v>
      </c>
      <c r="I122" s="32">
        <v>0</v>
      </c>
      <c r="J122" s="32">
        <f>689220-689220</f>
        <v>0</v>
      </c>
      <c r="K122" s="32">
        <f t="shared" si="3"/>
        <v>0</v>
      </c>
      <c r="L122" s="22"/>
      <c r="M122" s="23"/>
      <c r="N122" s="22"/>
      <c r="O122" s="35" t="s">
        <v>324</v>
      </c>
      <c r="P122" s="37"/>
      <c r="Q122" s="25"/>
      <c r="R122" s="9"/>
    </row>
    <row r="123" spans="2:18" ht="26.25" hidden="1" x14ac:dyDescent="0.25">
      <c r="B123" s="18" t="s">
        <v>18</v>
      </c>
      <c r="C123" s="19" t="s">
        <v>315</v>
      </c>
      <c r="D123" s="19" t="s">
        <v>316</v>
      </c>
      <c r="E123" s="19" t="s">
        <v>352</v>
      </c>
      <c r="F123" s="19" t="s">
        <v>353</v>
      </c>
      <c r="G123" s="20" t="s">
        <v>22</v>
      </c>
      <c r="H123" s="21" t="s">
        <v>262</v>
      </c>
      <c r="I123" s="32">
        <v>0</v>
      </c>
      <c r="J123" s="32">
        <f>580000-580000</f>
        <v>0</v>
      </c>
      <c r="K123" s="32">
        <f t="shared" si="3"/>
        <v>0</v>
      </c>
      <c r="L123" s="22"/>
      <c r="M123" s="23"/>
      <c r="N123" s="22"/>
      <c r="O123" s="35" t="s">
        <v>324</v>
      </c>
      <c r="P123" s="37"/>
      <c r="Q123" s="25"/>
      <c r="R123" s="9"/>
    </row>
    <row r="124" spans="2:18" ht="26.25" x14ac:dyDescent="0.25">
      <c r="B124" s="18" t="s">
        <v>18</v>
      </c>
      <c r="C124" s="19" t="s">
        <v>315</v>
      </c>
      <c r="D124" s="19" t="s">
        <v>316</v>
      </c>
      <c r="E124" s="19" t="s">
        <v>354</v>
      </c>
      <c r="F124" s="19" t="s">
        <v>355</v>
      </c>
      <c r="G124" s="57" t="s">
        <v>73</v>
      </c>
      <c r="H124" s="58" t="s">
        <v>262</v>
      </c>
      <c r="I124" s="22">
        <v>1</v>
      </c>
      <c r="J124" s="22">
        <f>1900000</f>
        <v>1900000</v>
      </c>
      <c r="K124" s="22">
        <f t="shared" si="3"/>
        <v>1900000</v>
      </c>
      <c r="L124" s="22"/>
      <c r="M124" s="23"/>
      <c r="N124" s="22"/>
      <c r="O124" s="61" t="s">
        <v>324</v>
      </c>
      <c r="P124" s="37"/>
      <c r="Q124" s="25"/>
      <c r="R124" s="9"/>
    </row>
    <row r="125" spans="2:18" ht="26.25" hidden="1" x14ac:dyDescent="0.25">
      <c r="B125" s="18" t="s">
        <v>18</v>
      </c>
      <c r="C125" s="19" t="s">
        <v>315</v>
      </c>
      <c r="D125" s="19" t="s">
        <v>316</v>
      </c>
      <c r="E125" s="19" t="s">
        <v>356</v>
      </c>
      <c r="F125" s="19" t="s">
        <v>357</v>
      </c>
      <c r="G125" s="20" t="s">
        <v>22</v>
      </c>
      <c r="H125" s="21" t="s">
        <v>262</v>
      </c>
      <c r="I125" s="32">
        <v>0</v>
      </c>
      <c r="J125" s="32">
        <f>302680-151340-151340</f>
        <v>0</v>
      </c>
      <c r="K125" s="32">
        <f t="shared" si="3"/>
        <v>0</v>
      </c>
      <c r="L125" s="22"/>
      <c r="M125" s="23"/>
      <c r="N125" s="22"/>
      <c r="O125" s="35" t="s">
        <v>324</v>
      </c>
      <c r="P125" s="37"/>
      <c r="Q125" s="25"/>
      <c r="R125" s="25"/>
    </row>
    <row r="126" spans="2:18" ht="26.25" hidden="1" x14ac:dyDescent="0.25">
      <c r="B126" s="18" t="s">
        <v>18</v>
      </c>
      <c r="C126" s="19" t="s">
        <v>315</v>
      </c>
      <c r="D126" s="19" t="s">
        <v>316</v>
      </c>
      <c r="E126" s="19" t="s">
        <v>358</v>
      </c>
      <c r="F126" s="19" t="s">
        <v>359</v>
      </c>
      <c r="G126" s="20" t="s">
        <v>22</v>
      </c>
      <c r="H126" s="21" t="s">
        <v>262</v>
      </c>
      <c r="I126" s="32">
        <v>0</v>
      </c>
      <c r="J126" s="32">
        <f>273500-273500</f>
        <v>0</v>
      </c>
      <c r="K126" s="32">
        <f t="shared" si="3"/>
        <v>0</v>
      </c>
      <c r="L126" s="22"/>
      <c r="M126" s="23"/>
      <c r="N126" s="22"/>
      <c r="O126" s="35" t="s">
        <v>324</v>
      </c>
      <c r="P126" s="37"/>
      <c r="Q126" s="25"/>
      <c r="R126" s="9"/>
    </row>
    <row r="127" spans="2:18" s="41" customFormat="1" ht="25.5" hidden="1" x14ac:dyDescent="0.2">
      <c r="B127" s="18" t="s">
        <v>18</v>
      </c>
      <c r="C127" s="19" t="s">
        <v>315</v>
      </c>
      <c r="D127" s="19" t="s">
        <v>316</v>
      </c>
      <c r="E127" s="19" t="s">
        <v>360</v>
      </c>
      <c r="F127" s="19" t="s">
        <v>361</v>
      </c>
      <c r="G127" s="20" t="s">
        <v>22</v>
      </c>
      <c r="H127" s="21" t="s">
        <v>262</v>
      </c>
      <c r="I127" s="32"/>
      <c r="J127" s="32"/>
      <c r="K127" s="32">
        <f t="shared" si="3"/>
        <v>0</v>
      </c>
      <c r="L127" s="39"/>
      <c r="M127" s="42"/>
      <c r="N127" s="39"/>
      <c r="O127" s="35" t="s">
        <v>324</v>
      </c>
      <c r="P127" s="40"/>
      <c r="Q127" s="25"/>
    </row>
    <row r="128" spans="2:18" ht="26.25" hidden="1" x14ac:dyDescent="0.25">
      <c r="B128" s="18" t="s">
        <v>18</v>
      </c>
      <c r="C128" s="19" t="s">
        <v>315</v>
      </c>
      <c r="D128" s="19" t="s">
        <v>316</v>
      </c>
      <c r="E128" s="19" t="s">
        <v>362</v>
      </c>
      <c r="F128" s="19" t="s">
        <v>363</v>
      </c>
      <c r="G128" s="20" t="s">
        <v>22</v>
      </c>
      <c r="H128" s="21" t="s">
        <v>262</v>
      </c>
      <c r="I128" s="32">
        <v>0</v>
      </c>
      <c r="J128" s="32">
        <f>375000-375000</f>
        <v>0</v>
      </c>
      <c r="K128" s="32">
        <f t="shared" si="3"/>
        <v>0</v>
      </c>
      <c r="L128" s="22"/>
      <c r="M128" s="23"/>
      <c r="N128" s="22"/>
      <c r="O128" s="35" t="s">
        <v>324</v>
      </c>
      <c r="P128" s="37"/>
      <c r="Q128" s="25"/>
      <c r="R128" s="9"/>
    </row>
    <row r="129" spans="2:17" ht="26.25" hidden="1" x14ac:dyDescent="0.25">
      <c r="B129" s="18" t="s">
        <v>18</v>
      </c>
      <c r="C129" s="19" t="s">
        <v>315</v>
      </c>
      <c r="D129" s="19" t="s">
        <v>316</v>
      </c>
      <c r="E129" s="19" t="s">
        <v>364</v>
      </c>
      <c r="F129" s="19" t="s">
        <v>365</v>
      </c>
      <c r="G129" s="20" t="s">
        <v>22</v>
      </c>
      <c r="H129" s="21" t="s">
        <v>262</v>
      </c>
      <c r="I129" s="32">
        <v>0</v>
      </c>
      <c r="J129" s="32">
        <f>375000-375000</f>
        <v>0</v>
      </c>
      <c r="K129" s="32">
        <f t="shared" si="3"/>
        <v>0</v>
      </c>
      <c r="L129" s="22"/>
      <c r="M129" s="23"/>
      <c r="N129" s="22"/>
      <c r="O129" s="35" t="s">
        <v>324</v>
      </c>
      <c r="P129" s="37"/>
      <c r="Q129" s="25"/>
    </row>
    <row r="130" spans="2:17" ht="26.25" hidden="1" x14ac:dyDescent="0.25">
      <c r="B130" s="18" t="s">
        <v>18</v>
      </c>
      <c r="C130" s="19" t="s">
        <v>315</v>
      </c>
      <c r="D130" s="19" t="s">
        <v>316</v>
      </c>
      <c r="E130" s="19" t="s">
        <v>366</v>
      </c>
      <c r="F130" s="19" t="s">
        <v>367</v>
      </c>
      <c r="G130" s="20" t="s">
        <v>22</v>
      </c>
      <c r="H130" s="21" t="s">
        <v>262</v>
      </c>
      <c r="I130" s="32">
        <v>0</v>
      </c>
      <c r="J130" s="32">
        <f>1352400-1352400</f>
        <v>0</v>
      </c>
      <c r="K130" s="32">
        <f t="shared" si="3"/>
        <v>0</v>
      </c>
      <c r="L130" s="22"/>
      <c r="M130" s="23"/>
      <c r="N130" s="22"/>
      <c r="O130" s="35" t="s">
        <v>324</v>
      </c>
      <c r="P130" s="37"/>
      <c r="Q130" s="25"/>
    </row>
    <row r="131" spans="2:17" ht="26.25" hidden="1" x14ac:dyDescent="0.25">
      <c r="B131" s="18" t="s">
        <v>18</v>
      </c>
      <c r="C131" s="19" t="s">
        <v>315</v>
      </c>
      <c r="D131" s="19" t="s">
        <v>316</v>
      </c>
      <c r="E131" s="19" t="s">
        <v>368</v>
      </c>
      <c r="F131" s="19" t="s">
        <v>369</v>
      </c>
      <c r="G131" s="20" t="s">
        <v>22</v>
      </c>
      <c r="H131" s="21" t="s">
        <v>262</v>
      </c>
      <c r="I131" s="32">
        <v>0</v>
      </c>
      <c r="J131" s="32">
        <f>580357.14-580357.14</f>
        <v>0</v>
      </c>
      <c r="K131" s="32">
        <f t="shared" si="3"/>
        <v>0</v>
      </c>
      <c r="L131" s="22"/>
      <c r="M131" s="23"/>
      <c r="N131" s="22"/>
      <c r="O131" s="35" t="s">
        <v>324</v>
      </c>
      <c r="P131" s="37"/>
      <c r="Q131" s="25"/>
    </row>
    <row r="132" spans="2:17" ht="39" x14ac:dyDescent="0.25">
      <c r="B132" s="18" t="s">
        <v>18</v>
      </c>
      <c r="C132" s="19" t="s">
        <v>315</v>
      </c>
      <c r="D132" s="19" t="s">
        <v>316</v>
      </c>
      <c r="E132" s="19" t="s">
        <v>370</v>
      </c>
      <c r="F132" s="19" t="s">
        <v>371</v>
      </c>
      <c r="G132" s="57" t="s">
        <v>22</v>
      </c>
      <c r="H132" s="58" t="s">
        <v>262</v>
      </c>
      <c r="I132" s="22">
        <v>1</v>
      </c>
      <c r="J132" s="22">
        <v>715000</v>
      </c>
      <c r="K132" s="22">
        <f t="shared" si="3"/>
        <v>715000</v>
      </c>
      <c r="L132" s="22"/>
      <c r="M132" s="23"/>
      <c r="N132" s="22"/>
      <c r="O132" s="61" t="s">
        <v>324</v>
      </c>
      <c r="P132" s="37"/>
      <c r="Q132" s="25"/>
    </row>
    <row r="133" spans="2:17" ht="26.25" x14ac:dyDescent="0.25">
      <c r="B133" s="18" t="s">
        <v>18</v>
      </c>
      <c r="C133" s="19" t="s">
        <v>315</v>
      </c>
      <c r="D133" s="19" t="s">
        <v>316</v>
      </c>
      <c r="E133" s="19" t="s">
        <v>372</v>
      </c>
      <c r="F133" s="19" t="s">
        <v>373</v>
      </c>
      <c r="G133" s="57" t="s">
        <v>22</v>
      </c>
      <c r="H133" s="58" t="s">
        <v>262</v>
      </c>
      <c r="I133" s="22">
        <v>1</v>
      </c>
      <c r="J133" s="22">
        <v>255000</v>
      </c>
      <c r="K133" s="22">
        <f t="shared" si="3"/>
        <v>255000</v>
      </c>
      <c r="L133" s="22"/>
      <c r="M133" s="23"/>
      <c r="N133" s="22"/>
      <c r="O133" s="61" t="s">
        <v>324</v>
      </c>
      <c r="P133" s="37"/>
      <c r="Q133" s="25"/>
    </row>
    <row r="134" spans="2:17" ht="31.5" customHeight="1" x14ac:dyDescent="0.25">
      <c r="B134" s="18" t="s">
        <v>18</v>
      </c>
      <c r="C134" s="19" t="s">
        <v>315</v>
      </c>
      <c r="D134" s="19" t="s">
        <v>316</v>
      </c>
      <c r="E134" s="19" t="s">
        <v>374</v>
      </c>
      <c r="F134" s="19" t="s">
        <v>375</v>
      </c>
      <c r="G134" s="57" t="s">
        <v>73</v>
      </c>
      <c r="H134" s="58" t="s">
        <v>262</v>
      </c>
      <c r="I134" s="22">
        <v>1</v>
      </c>
      <c r="J134" s="22">
        <f>138000</f>
        <v>138000</v>
      </c>
      <c r="K134" s="22">
        <f t="shared" si="3"/>
        <v>138000</v>
      </c>
      <c r="L134" s="22"/>
      <c r="M134" s="23"/>
      <c r="N134" s="22"/>
      <c r="O134" s="61" t="s">
        <v>333</v>
      </c>
      <c r="P134" s="37"/>
      <c r="Q134" s="25"/>
    </row>
    <row r="135" spans="2:17" ht="26.25" x14ac:dyDescent="0.25">
      <c r="B135" s="18" t="s">
        <v>18</v>
      </c>
      <c r="C135" s="19" t="s">
        <v>376</v>
      </c>
      <c r="D135" s="19" t="s">
        <v>377</v>
      </c>
      <c r="E135" s="19" t="s">
        <v>378</v>
      </c>
      <c r="F135" s="19" t="s">
        <v>379</v>
      </c>
      <c r="G135" s="57" t="s">
        <v>73</v>
      </c>
      <c r="H135" s="58" t="s">
        <v>262</v>
      </c>
      <c r="I135" s="22">
        <v>1</v>
      </c>
      <c r="J135" s="22">
        <v>2127336.4500000002</v>
      </c>
      <c r="K135" s="22">
        <f t="shared" si="3"/>
        <v>2127336.4500000002</v>
      </c>
      <c r="L135" s="22"/>
      <c r="M135" s="22"/>
      <c r="N135" s="22"/>
      <c r="O135" s="61" t="s">
        <v>27</v>
      </c>
      <c r="P135" s="37"/>
      <c r="Q135" s="25"/>
    </row>
    <row r="136" spans="2:17" ht="39" x14ac:dyDescent="0.25">
      <c r="B136" s="18" t="s">
        <v>18</v>
      </c>
      <c r="C136" s="19" t="s">
        <v>380</v>
      </c>
      <c r="D136" s="19" t="s">
        <v>381</v>
      </c>
      <c r="E136" s="19" t="s">
        <v>382</v>
      </c>
      <c r="F136" s="19" t="s">
        <v>383</v>
      </c>
      <c r="G136" s="57" t="s">
        <v>73</v>
      </c>
      <c r="H136" s="58" t="s">
        <v>262</v>
      </c>
      <c r="I136" s="22">
        <v>1</v>
      </c>
      <c r="J136" s="22">
        <f>1336575-1281540.1</f>
        <v>55034.899999999907</v>
      </c>
      <c r="K136" s="22">
        <f t="shared" si="3"/>
        <v>55034.899999999907</v>
      </c>
      <c r="L136" s="22"/>
      <c r="M136" s="22"/>
      <c r="N136" s="22"/>
      <c r="O136" s="61" t="s">
        <v>27</v>
      </c>
      <c r="P136" s="24"/>
      <c r="Q136" s="25"/>
    </row>
    <row r="137" spans="2:17" ht="39" x14ac:dyDescent="0.25">
      <c r="B137" s="18" t="s">
        <v>18</v>
      </c>
      <c r="C137" s="19" t="s">
        <v>380</v>
      </c>
      <c r="D137" s="19" t="s">
        <v>381</v>
      </c>
      <c r="E137" s="19" t="s">
        <v>382</v>
      </c>
      <c r="F137" s="19" t="s">
        <v>383</v>
      </c>
      <c r="G137" s="57" t="s">
        <v>73</v>
      </c>
      <c r="H137" s="58" t="s">
        <v>262</v>
      </c>
      <c r="I137" s="22">
        <v>1</v>
      </c>
      <c r="J137" s="22">
        <v>1281540.1000000001</v>
      </c>
      <c r="K137" s="22">
        <f>I137*J137</f>
        <v>1281540.1000000001</v>
      </c>
      <c r="L137" s="22"/>
      <c r="M137" s="22"/>
      <c r="N137" s="22"/>
      <c r="O137" s="61" t="s">
        <v>53</v>
      </c>
      <c r="P137" s="24"/>
      <c r="Q137" s="25"/>
    </row>
    <row r="138" spans="2:17" ht="39" x14ac:dyDescent="0.25">
      <c r="B138" s="18" t="s">
        <v>18</v>
      </c>
      <c r="C138" s="19" t="s">
        <v>384</v>
      </c>
      <c r="D138" s="19" t="s">
        <v>385</v>
      </c>
      <c r="E138" s="19" t="s">
        <v>386</v>
      </c>
      <c r="F138" s="19" t="s">
        <v>387</v>
      </c>
      <c r="G138" s="57" t="s">
        <v>263</v>
      </c>
      <c r="H138" s="58" t="s">
        <v>262</v>
      </c>
      <c r="I138" s="22">
        <v>1</v>
      </c>
      <c r="J138" s="22">
        <v>17822161.66</v>
      </c>
      <c r="K138" s="22">
        <f t="shared" si="3"/>
        <v>17822161.66</v>
      </c>
      <c r="L138" s="22"/>
      <c r="M138" s="22"/>
      <c r="N138" s="22"/>
      <c r="O138" s="61" t="s">
        <v>27</v>
      </c>
      <c r="P138" s="24"/>
      <c r="Q138" s="25"/>
    </row>
    <row r="139" spans="2:17" ht="26.25" x14ac:dyDescent="0.25">
      <c r="B139" s="18" t="s">
        <v>18</v>
      </c>
      <c r="C139" s="19" t="s">
        <v>384</v>
      </c>
      <c r="D139" s="19" t="s">
        <v>385</v>
      </c>
      <c r="E139" s="19" t="s">
        <v>386</v>
      </c>
      <c r="F139" s="19" t="s">
        <v>387</v>
      </c>
      <c r="G139" s="57" t="s">
        <v>272</v>
      </c>
      <c r="H139" s="58" t="s">
        <v>262</v>
      </c>
      <c r="I139" s="22">
        <v>1</v>
      </c>
      <c r="J139" s="22">
        <f>10977838.34+12272383.66</f>
        <v>23250222</v>
      </c>
      <c r="K139" s="22">
        <f t="shared" si="3"/>
        <v>23250222</v>
      </c>
      <c r="L139" s="22"/>
      <c r="M139" s="22"/>
      <c r="N139" s="22"/>
      <c r="O139" s="57" t="s">
        <v>27</v>
      </c>
      <c r="P139" s="24"/>
      <c r="Q139" s="25"/>
    </row>
    <row r="140" spans="2:17" ht="26.25" x14ac:dyDescent="0.25">
      <c r="B140" s="18" t="s">
        <v>18</v>
      </c>
      <c r="C140" s="19" t="s">
        <v>384</v>
      </c>
      <c r="D140" s="19" t="s">
        <v>385</v>
      </c>
      <c r="E140" s="19" t="s">
        <v>388</v>
      </c>
      <c r="F140" s="19" t="s">
        <v>389</v>
      </c>
      <c r="G140" s="57" t="s">
        <v>272</v>
      </c>
      <c r="H140" s="58" t="s">
        <v>262</v>
      </c>
      <c r="I140" s="22">
        <v>1</v>
      </c>
      <c r="J140" s="22">
        <f>28800000-4800000</f>
        <v>24000000</v>
      </c>
      <c r="K140" s="22">
        <f t="shared" si="3"/>
        <v>24000000</v>
      </c>
      <c r="L140" s="22"/>
      <c r="M140" s="22"/>
      <c r="N140" s="22"/>
      <c r="O140" s="57" t="s">
        <v>390</v>
      </c>
      <c r="P140" s="24"/>
      <c r="Q140" s="25"/>
    </row>
    <row r="141" spans="2:17" ht="30.75" hidden="1" customHeight="1" x14ac:dyDescent="0.25">
      <c r="B141" s="18" t="s">
        <v>18</v>
      </c>
      <c r="C141" s="19" t="s">
        <v>384</v>
      </c>
      <c r="D141" s="19" t="s">
        <v>385</v>
      </c>
      <c r="E141" s="19" t="s">
        <v>391</v>
      </c>
      <c r="F141" s="19" t="s">
        <v>392</v>
      </c>
      <c r="G141" s="20" t="s">
        <v>272</v>
      </c>
      <c r="H141" s="21" t="s">
        <v>262</v>
      </c>
      <c r="I141" s="32"/>
      <c r="J141" s="32"/>
      <c r="K141" s="32">
        <v>0</v>
      </c>
      <c r="L141" s="22"/>
      <c r="M141" s="22"/>
      <c r="N141" s="22"/>
      <c r="O141" s="20" t="s">
        <v>53</v>
      </c>
      <c r="P141" s="24"/>
      <c r="Q141" s="25"/>
    </row>
    <row r="142" spans="2:17" ht="26.25" x14ac:dyDescent="0.25">
      <c r="B142" s="18" t="s">
        <v>18</v>
      </c>
      <c r="C142" s="19" t="s">
        <v>384</v>
      </c>
      <c r="D142" s="19" t="s">
        <v>385</v>
      </c>
      <c r="E142" s="19" t="s">
        <v>393</v>
      </c>
      <c r="F142" s="19" t="s">
        <v>394</v>
      </c>
      <c r="G142" s="57" t="s">
        <v>73</v>
      </c>
      <c r="H142" s="58" t="s">
        <v>262</v>
      </c>
      <c r="I142" s="22">
        <v>1</v>
      </c>
      <c r="J142" s="22">
        <v>780000</v>
      </c>
      <c r="K142" s="22">
        <f t="shared" si="3"/>
        <v>780000</v>
      </c>
      <c r="L142" s="22"/>
      <c r="M142" s="22"/>
      <c r="N142" s="22"/>
      <c r="O142" s="57" t="s">
        <v>390</v>
      </c>
      <c r="P142" s="24"/>
      <c r="Q142" s="25"/>
    </row>
    <row r="143" spans="2:17" ht="39" x14ac:dyDescent="0.25">
      <c r="B143" s="18" t="s">
        <v>18</v>
      </c>
      <c r="C143" s="19" t="s">
        <v>384</v>
      </c>
      <c r="D143" s="19" t="s">
        <v>385</v>
      </c>
      <c r="E143" s="19" t="s">
        <v>395</v>
      </c>
      <c r="F143" s="19" t="s">
        <v>396</v>
      </c>
      <c r="G143" s="57" t="s">
        <v>263</v>
      </c>
      <c r="H143" s="58" t="s">
        <v>262</v>
      </c>
      <c r="I143" s="22">
        <v>1</v>
      </c>
      <c r="J143" s="22">
        <f>431199.99+318500.01</f>
        <v>749700</v>
      </c>
      <c r="K143" s="22">
        <f t="shared" si="3"/>
        <v>749700</v>
      </c>
      <c r="L143" s="22"/>
      <c r="M143" s="22"/>
      <c r="N143" s="22"/>
      <c r="O143" s="57" t="s">
        <v>390</v>
      </c>
      <c r="P143" s="24"/>
      <c r="Q143" s="25"/>
    </row>
    <row r="144" spans="2:17" ht="26.25" x14ac:dyDescent="0.25">
      <c r="B144" s="18" t="s">
        <v>18</v>
      </c>
      <c r="C144" s="19" t="s">
        <v>384</v>
      </c>
      <c r="D144" s="19" t="s">
        <v>385</v>
      </c>
      <c r="E144" s="19" t="s">
        <v>397</v>
      </c>
      <c r="F144" s="19" t="s">
        <v>398</v>
      </c>
      <c r="G144" s="57" t="s">
        <v>73</v>
      </c>
      <c r="H144" s="58" t="s">
        <v>262</v>
      </c>
      <c r="I144" s="22">
        <v>1</v>
      </c>
      <c r="J144" s="22">
        <f>7237500-449800-249900-6391.05</f>
        <v>6531408.9500000002</v>
      </c>
      <c r="K144" s="22">
        <f>I144*J144</f>
        <v>6531408.9500000002</v>
      </c>
      <c r="L144" s="22"/>
      <c r="M144" s="22"/>
      <c r="N144" s="22"/>
      <c r="O144" s="61" t="s">
        <v>53</v>
      </c>
      <c r="P144" s="24"/>
      <c r="Q144" s="25"/>
    </row>
    <row r="145" spans="2:18" ht="26.25" x14ac:dyDescent="0.25">
      <c r="B145" s="18" t="s">
        <v>18</v>
      </c>
      <c r="C145" s="19" t="s">
        <v>384</v>
      </c>
      <c r="D145" s="19" t="s">
        <v>385</v>
      </c>
      <c r="E145" s="19" t="s">
        <v>395</v>
      </c>
      <c r="F145" s="19" t="s">
        <v>396</v>
      </c>
      <c r="G145" s="57" t="s">
        <v>73</v>
      </c>
      <c r="H145" s="58" t="s">
        <v>262</v>
      </c>
      <c r="I145" s="22">
        <v>1</v>
      </c>
      <c r="J145" s="22">
        <f>7237500-6787700</f>
        <v>449800</v>
      </c>
      <c r="K145" s="22">
        <f t="shared" si="3"/>
        <v>449800</v>
      </c>
      <c r="L145" s="22"/>
      <c r="M145" s="22"/>
      <c r="N145" s="22"/>
      <c r="O145" s="61" t="s">
        <v>53</v>
      </c>
      <c r="P145" s="24"/>
      <c r="Q145" s="25"/>
      <c r="R145" s="9"/>
    </row>
    <row r="146" spans="2:18" ht="28.5" customHeight="1" x14ac:dyDescent="0.25">
      <c r="B146" s="18" t="s">
        <v>18</v>
      </c>
      <c r="C146" s="19" t="s">
        <v>384</v>
      </c>
      <c r="D146" s="19" t="s">
        <v>385</v>
      </c>
      <c r="E146" s="19" t="s">
        <v>395</v>
      </c>
      <c r="F146" s="19" t="s">
        <v>396</v>
      </c>
      <c r="G146" s="57" t="s">
        <v>73</v>
      </c>
      <c r="H146" s="58" t="s">
        <v>262</v>
      </c>
      <c r="I146" s="22">
        <v>1</v>
      </c>
      <c r="J146" s="22">
        <f>7237500-6987600</f>
        <v>249900</v>
      </c>
      <c r="K146" s="22">
        <f>I146*J146</f>
        <v>249900</v>
      </c>
      <c r="L146" s="22"/>
      <c r="M146" s="22"/>
      <c r="N146" s="22"/>
      <c r="O146" s="61" t="s">
        <v>53</v>
      </c>
      <c r="P146" s="24"/>
      <c r="Q146" s="25"/>
      <c r="R146" s="9"/>
    </row>
    <row r="147" spans="2:18" ht="39" x14ac:dyDescent="0.25">
      <c r="B147" s="18" t="s">
        <v>18</v>
      </c>
      <c r="C147" s="19" t="s">
        <v>384</v>
      </c>
      <c r="D147" s="19" t="s">
        <v>385</v>
      </c>
      <c r="E147" s="19" t="s">
        <v>399</v>
      </c>
      <c r="F147" s="19" t="s">
        <v>400</v>
      </c>
      <c r="G147" s="57" t="s">
        <v>263</v>
      </c>
      <c r="H147" s="58" t="s">
        <v>262</v>
      </c>
      <c r="I147" s="22">
        <v>1</v>
      </c>
      <c r="J147" s="22">
        <v>63333.32</v>
      </c>
      <c r="K147" s="22">
        <v>63333.32</v>
      </c>
      <c r="L147" s="22"/>
      <c r="M147" s="22"/>
      <c r="N147" s="22"/>
      <c r="O147" s="61" t="s">
        <v>27</v>
      </c>
      <c r="P147" s="24"/>
      <c r="Q147" s="2"/>
      <c r="R147" s="25"/>
    </row>
    <row r="148" spans="2:18" ht="26.25" x14ac:dyDescent="0.25">
      <c r="B148" s="18" t="s">
        <v>18</v>
      </c>
      <c r="C148" s="19" t="s">
        <v>384</v>
      </c>
      <c r="D148" s="19" t="s">
        <v>385</v>
      </c>
      <c r="E148" s="19" t="s">
        <v>399</v>
      </c>
      <c r="F148" s="19" t="s">
        <v>400</v>
      </c>
      <c r="G148" s="57" t="s">
        <v>73</v>
      </c>
      <c r="H148" s="58" t="s">
        <v>262</v>
      </c>
      <c r="I148" s="22">
        <v>1</v>
      </c>
      <c r="J148" s="22">
        <f>190000-J147-7600+81826.18</f>
        <v>200892.86</v>
      </c>
      <c r="K148" s="22">
        <f t="shared" ref="K148:K157" si="4">I148*J148</f>
        <v>200892.86</v>
      </c>
      <c r="L148" s="22"/>
      <c r="M148" s="22"/>
      <c r="N148" s="22"/>
      <c r="O148" s="61" t="s">
        <v>53</v>
      </c>
      <c r="P148" s="24"/>
      <c r="Q148" s="25"/>
      <c r="R148" s="9"/>
    </row>
    <row r="149" spans="2:18" ht="26.25" x14ac:dyDescent="0.25">
      <c r="B149" s="18" t="s">
        <v>18</v>
      </c>
      <c r="C149" s="19" t="s">
        <v>401</v>
      </c>
      <c r="D149" s="19" t="s">
        <v>402</v>
      </c>
      <c r="E149" s="19" t="s">
        <v>403</v>
      </c>
      <c r="F149" s="19" t="s">
        <v>404</v>
      </c>
      <c r="G149" s="57" t="s">
        <v>22</v>
      </c>
      <c r="H149" s="58" t="s">
        <v>262</v>
      </c>
      <c r="I149" s="22">
        <v>1</v>
      </c>
      <c r="J149" s="22">
        <v>11860</v>
      </c>
      <c r="K149" s="22">
        <f t="shared" si="4"/>
        <v>11860</v>
      </c>
      <c r="L149" s="22"/>
      <c r="M149" s="22"/>
      <c r="N149" s="22"/>
      <c r="O149" s="61" t="s">
        <v>79</v>
      </c>
      <c r="P149" s="24"/>
      <c r="Q149" s="25"/>
      <c r="R149" s="9"/>
    </row>
    <row r="150" spans="2:18" ht="39" x14ac:dyDescent="0.25">
      <c r="B150" s="18" t="s">
        <v>18</v>
      </c>
      <c r="C150" s="19" t="s">
        <v>405</v>
      </c>
      <c r="D150" s="19" t="s">
        <v>406</v>
      </c>
      <c r="E150" s="19" t="s">
        <v>407</v>
      </c>
      <c r="F150" s="19" t="s">
        <v>408</v>
      </c>
      <c r="G150" s="57" t="s">
        <v>263</v>
      </c>
      <c r="H150" s="58" t="s">
        <v>262</v>
      </c>
      <c r="I150" s="22">
        <v>1</v>
      </c>
      <c r="J150" s="22">
        <v>3420000</v>
      </c>
      <c r="K150" s="22">
        <f t="shared" si="4"/>
        <v>3420000</v>
      </c>
      <c r="L150" s="22"/>
      <c r="M150" s="22"/>
      <c r="N150" s="22"/>
      <c r="O150" s="61" t="s">
        <v>27</v>
      </c>
      <c r="P150" s="24"/>
      <c r="Q150" s="25"/>
      <c r="R150" s="9"/>
    </row>
    <row r="151" spans="2:18" ht="26.25" x14ac:dyDescent="0.25">
      <c r="B151" s="18" t="s">
        <v>18</v>
      </c>
      <c r="C151" s="19" t="s">
        <v>405</v>
      </c>
      <c r="D151" s="19" t="s">
        <v>406</v>
      </c>
      <c r="E151" s="19" t="s">
        <v>409</v>
      </c>
      <c r="F151" s="19" t="s">
        <v>410</v>
      </c>
      <c r="G151" s="57" t="s">
        <v>73</v>
      </c>
      <c r="H151" s="58" t="s">
        <v>262</v>
      </c>
      <c r="I151" s="22">
        <v>1</v>
      </c>
      <c r="J151" s="22">
        <f>22650000-3461409.67-780000-6612014.33</f>
        <v>11796575.999999998</v>
      </c>
      <c r="K151" s="22">
        <f t="shared" si="4"/>
        <v>11796575.999999998</v>
      </c>
      <c r="L151" s="22"/>
      <c r="M151" s="22"/>
      <c r="N151" s="22"/>
      <c r="O151" s="61" t="s">
        <v>79</v>
      </c>
      <c r="P151" s="24"/>
      <c r="Q151" s="25"/>
      <c r="R151" s="9"/>
    </row>
    <row r="152" spans="2:18" ht="36.75" customHeight="1" x14ac:dyDescent="0.25">
      <c r="B152" s="18" t="s">
        <v>18</v>
      </c>
      <c r="C152" s="19" t="s">
        <v>405</v>
      </c>
      <c r="D152" s="19" t="s">
        <v>406</v>
      </c>
      <c r="E152" s="19" t="s">
        <v>411</v>
      </c>
      <c r="F152" s="19" t="s">
        <v>412</v>
      </c>
      <c r="G152" s="57" t="s">
        <v>272</v>
      </c>
      <c r="H152" s="58" t="s">
        <v>262</v>
      </c>
      <c r="I152" s="22">
        <v>1</v>
      </c>
      <c r="J152" s="22">
        <f>30200000-15200000-12945185.22</f>
        <v>2054814.7799999993</v>
      </c>
      <c r="K152" s="22">
        <f t="shared" si="4"/>
        <v>2054814.7799999993</v>
      </c>
      <c r="L152" s="22"/>
      <c r="M152" s="22"/>
      <c r="N152" s="22"/>
      <c r="O152" s="61" t="s">
        <v>27</v>
      </c>
      <c r="P152" s="24"/>
      <c r="Q152" s="25"/>
      <c r="R152" s="9"/>
    </row>
    <row r="153" spans="2:18" ht="26.25" x14ac:dyDescent="0.25">
      <c r="B153" s="18" t="s">
        <v>18</v>
      </c>
      <c r="C153" s="19" t="s">
        <v>405</v>
      </c>
      <c r="D153" s="19" t="s">
        <v>406</v>
      </c>
      <c r="E153" s="19" t="s">
        <v>413</v>
      </c>
      <c r="F153" s="19" t="s">
        <v>414</v>
      </c>
      <c r="G153" s="57" t="s">
        <v>272</v>
      </c>
      <c r="H153" s="58" t="s">
        <v>262</v>
      </c>
      <c r="I153" s="22">
        <v>1</v>
      </c>
      <c r="J153" s="22">
        <v>11796576</v>
      </c>
      <c r="K153" s="22">
        <f>I153*J153</f>
        <v>11796576</v>
      </c>
      <c r="L153" s="22"/>
      <c r="M153" s="22"/>
      <c r="N153" s="22"/>
      <c r="O153" s="61" t="s">
        <v>24</v>
      </c>
      <c r="P153" s="24"/>
      <c r="Q153" s="25"/>
      <c r="R153" s="9"/>
    </row>
    <row r="154" spans="2:18" ht="26.25" x14ac:dyDescent="0.25">
      <c r="B154" s="18" t="s">
        <v>18</v>
      </c>
      <c r="C154" s="19" t="s">
        <v>415</v>
      </c>
      <c r="D154" s="19" t="s">
        <v>416</v>
      </c>
      <c r="E154" s="19" t="s">
        <v>417</v>
      </c>
      <c r="F154" s="19" t="s">
        <v>418</v>
      </c>
      <c r="G154" s="57" t="s">
        <v>73</v>
      </c>
      <c r="H154" s="58" t="s">
        <v>262</v>
      </c>
      <c r="I154" s="22">
        <v>1</v>
      </c>
      <c r="J154" s="22">
        <v>3328788.9999999995</v>
      </c>
      <c r="K154" s="22">
        <f t="shared" si="4"/>
        <v>3328788.9999999995</v>
      </c>
      <c r="L154" s="22"/>
      <c r="M154" s="22"/>
      <c r="N154" s="22"/>
      <c r="O154" s="61" t="s">
        <v>27</v>
      </c>
      <c r="P154" s="24"/>
      <c r="Q154" s="25"/>
      <c r="R154" s="9"/>
    </row>
    <row r="155" spans="2:18" ht="26.25" x14ac:dyDescent="0.25">
      <c r="B155" s="18" t="s">
        <v>18</v>
      </c>
      <c r="C155" s="19" t="s">
        <v>415</v>
      </c>
      <c r="D155" s="19" t="s">
        <v>416</v>
      </c>
      <c r="E155" s="19" t="s">
        <v>419</v>
      </c>
      <c r="F155" s="19" t="s">
        <v>420</v>
      </c>
      <c r="G155" s="57" t="s">
        <v>73</v>
      </c>
      <c r="H155" s="58" t="s">
        <v>262</v>
      </c>
      <c r="I155" s="22">
        <v>1</v>
      </c>
      <c r="J155" s="22">
        <f>516718+115425</f>
        <v>632143</v>
      </c>
      <c r="K155" s="22">
        <f>I155*J155</f>
        <v>632143</v>
      </c>
      <c r="L155" s="22"/>
      <c r="M155" s="22"/>
      <c r="N155" s="22"/>
      <c r="O155" s="61" t="s">
        <v>53</v>
      </c>
      <c r="P155" s="24"/>
      <c r="Q155" s="25"/>
      <c r="R155" s="9"/>
    </row>
    <row r="156" spans="2:18" ht="39" x14ac:dyDescent="0.25">
      <c r="B156" s="18" t="s">
        <v>18</v>
      </c>
      <c r="C156" s="19" t="s">
        <v>405</v>
      </c>
      <c r="D156" s="19" t="s">
        <v>406</v>
      </c>
      <c r="E156" s="19" t="s">
        <v>421</v>
      </c>
      <c r="F156" s="19" t="s">
        <v>422</v>
      </c>
      <c r="G156" s="57" t="s">
        <v>263</v>
      </c>
      <c r="H156" s="58" t="s">
        <v>262</v>
      </c>
      <c r="I156" s="22">
        <v>1</v>
      </c>
      <c r="J156" s="22">
        <v>9000000</v>
      </c>
      <c r="K156" s="22">
        <f>I156*J156</f>
        <v>9000000</v>
      </c>
      <c r="L156" s="22"/>
      <c r="M156" s="22"/>
      <c r="N156" s="22"/>
      <c r="O156" s="61" t="s">
        <v>27</v>
      </c>
      <c r="P156" s="24"/>
      <c r="Q156" s="25"/>
      <c r="R156" s="9"/>
    </row>
    <row r="157" spans="2:18" ht="37.5" customHeight="1" x14ac:dyDescent="0.25">
      <c r="B157" s="18" t="s">
        <v>18</v>
      </c>
      <c r="C157" s="19" t="s">
        <v>405</v>
      </c>
      <c r="D157" s="19" t="s">
        <v>406</v>
      </c>
      <c r="E157" s="19" t="s">
        <v>421</v>
      </c>
      <c r="F157" s="19" t="s">
        <v>422</v>
      </c>
      <c r="G157" s="57" t="s">
        <v>272</v>
      </c>
      <c r="H157" s="58" t="s">
        <v>262</v>
      </c>
      <c r="I157" s="22">
        <v>1</v>
      </c>
      <c r="J157" s="22">
        <f>61474866.96-7863706.25-202539.68</f>
        <v>53408621.030000001</v>
      </c>
      <c r="K157" s="22">
        <f t="shared" si="4"/>
        <v>53408621.030000001</v>
      </c>
      <c r="L157" s="22"/>
      <c r="M157" s="22"/>
      <c r="N157" s="22"/>
      <c r="O157" s="61" t="s">
        <v>27</v>
      </c>
      <c r="P157" s="24"/>
      <c r="Q157" s="25"/>
      <c r="R157" s="9"/>
    </row>
    <row r="158" spans="2:18" ht="60" customHeight="1" x14ac:dyDescent="0.25">
      <c r="B158" s="18" t="s">
        <v>18</v>
      </c>
      <c r="C158" s="19" t="s">
        <v>423</v>
      </c>
      <c r="D158" s="19" t="s">
        <v>424</v>
      </c>
      <c r="E158" s="19" t="s">
        <v>425</v>
      </c>
      <c r="F158" s="19" t="s">
        <v>426</v>
      </c>
      <c r="G158" s="57" t="s">
        <v>22</v>
      </c>
      <c r="H158" s="58" t="s">
        <v>262</v>
      </c>
      <c r="I158" s="22">
        <v>1</v>
      </c>
      <c r="J158" s="22">
        <f>428571.45-180000.45</f>
        <v>248571</v>
      </c>
      <c r="K158" s="22">
        <f>I158*J158</f>
        <v>248571</v>
      </c>
      <c r="L158" s="22"/>
      <c r="M158" s="22"/>
      <c r="N158" s="22"/>
      <c r="O158" s="61" t="s">
        <v>27</v>
      </c>
      <c r="P158" s="37"/>
      <c r="Q158" s="25"/>
      <c r="R158" s="9"/>
    </row>
    <row r="159" spans="2:18" ht="57.75" customHeight="1" x14ac:dyDescent="0.25">
      <c r="B159" s="18" t="s">
        <v>18</v>
      </c>
      <c r="C159" s="19" t="s">
        <v>423</v>
      </c>
      <c r="D159" s="19" t="s">
        <v>424</v>
      </c>
      <c r="E159" s="19" t="s">
        <v>427</v>
      </c>
      <c r="F159" s="19" t="s">
        <v>428</v>
      </c>
      <c r="G159" s="57" t="s">
        <v>22</v>
      </c>
      <c r="H159" s="58" t="s">
        <v>262</v>
      </c>
      <c r="I159" s="22">
        <v>1</v>
      </c>
      <c r="J159" s="22">
        <f>504464.3-30268.3</f>
        <v>474196</v>
      </c>
      <c r="K159" s="22">
        <f>I159*J159</f>
        <v>474196</v>
      </c>
      <c r="L159" s="22"/>
      <c r="M159" s="22"/>
      <c r="N159" s="22"/>
      <c r="O159" s="61" t="s">
        <v>27</v>
      </c>
      <c r="P159" s="24"/>
      <c r="Q159" s="25"/>
      <c r="R159" s="9"/>
    </row>
    <row r="160" spans="2:18" ht="58.5" customHeight="1" x14ac:dyDescent="0.25">
      <c r="B160" s="18" t="s">
        <v>18</v>
      </c>
      <c r="C160" s="19" t="s">
        <v>423</v>
      </c>
      <c r="D160" s="19" t="s">
        <v>424</v>
      </c>
      <c r="E160" s="19" t="s">
        <v>429</v>
      </c>
      <c r="F160" s="19" t="s">
        <v>430</v>
      </c>
      <c r="G160" s="57" t="s">
        <v>73</v>
      </c>
      <c r="H160" s="58" t="s">
        <v>262</v>
      </c>
      <c r="I160" s="22">
        <v>1</v>
      </c>
      <c r="J160" s="22">
        <f>491071.45-17857.16</f>
        <v>473214.29000000004</v>
      </c>
      <c r="K160" s="22">
        <f t="shared" ref="K160:K170" si="5">I160*J160</f>
        <v>473214.29000000004</v>
      </c>
      <c r="L160" s="22"/>
      <c r="M160" s="22"/>
      <c r="N160" s="22"/>
      <c r="O160" s="61" t="s">
        <v>27</v>
      </c>
      <c r="P160" s="24"/>
      <c r="Q160" s="25"/>
      <c r="R160" s="9"/>
    </row>
    <row r="161" spans="2:17" ht="51.75" x14ac:dyDescent="0.25">
      <c r="B161" s="18" t="s">
        <v>18</v>
      </c>
      <c r="C161" s="19" t="s">
        <v>423</v>
      </c>
      <c r="D161" s="19" t="s">
        <v>424</v>
      </c>
      <c r="E161" s="19" t="s">
        <v>431</v>
      </c>
      <c r="F161" s="19" t="s">
        <v>432</v>
      </c>
      <c r="G161" s="57" t="s">
        <v>22</v>
      </c>
      <c r="H161" s="58" t="s">
        <v>262</v>
      </c>
      <c r="I161" s="22">
        <v>1</v>
      </c>
      <c r="J161" s="22">
        <f>303571.5-30358.5</f>
        <v>273213</v>
      </c>
      <c r="K161" s="22">
        <f t="shared" si="5"/>
        <v>273213</v>
      </c>
      <c r="L161" s="22"/>
      <c r="M161" s="22"/>
      <c r="N161" s="22"/>
      <c r="O161" s="61" t="s">
        <v>27</v>
      </c>
      <c r="P161" s="24"/>
      <c r="Q161" s="25"/>
    </row>
    <row r="162" spans="2:17" ht="39" x14ac:dyDescent="0.25">
      <c r="B162" s="18" t="s">
        <v>18</v>
      </c>
      <c r="C162" s="19" t="s">
        <v>433</v>
      </c>
      <c r="D162" s="19" t="s">
        <v>434</v>
      </c>
      <c r="E162" s="19" t="s">
        <v>435</v>
      </c>
      <c r="F162" s="19" t="s">
        <v>436</v>
      </c>
      <c r="G162" s="57" t="s">
        <v>263</v>
      </c>
      <c r="H162" s="58" t="s">
        <v>262</v>
      </c>
      <c r="I162" s="22">
        <v>1</v>
      </c>
      <c r="J162" s="22">
        <v>12533333.33</v>
      </c>
      <c r="K162" s="22">
        <f t="shared" si="5"/>
        <v>12533333.33</v>
      </c>
      <c r="L162" s="22"/>
      <c r="M162" s="22"/>
      <c r="N162" s="22"/>
      <c r="O162" s="61" t="s">
        <v>27</v>
      </c>
      <c r="P162" s="24"/>
      <c r="Q162" s="25"/>
    </row>
    <row r="163" spans="2:17" ht="39" x14ac:dyDescent="0.25">
      <c r="B163" s="18" t="s">
        <v>18</v>
      </c>
      <c r="C163" s="19" t="s">
        <v>433</v>
      </c>
      <c r="D163" s="19" t="s">
        <v>434</v>
      </c>
      <c r="E163" s="19" t="s">
        <v>435</v>
      </c>
      <c r="F163" s="19" t="s">
        <v>436</v>
      </c>
      <c r="G163" s="57" t="s">
        <v>272</v>
      </c>
      <c r="H163" s="58" t="s">
        <v>262</v>
      </c>
      <c r="I163" s="22">
        <v>1</v>
      </c>
      <c r="J163" s="22">
        <v>40144580.737499997</v>
      </c>
      <c r="K163" s="22">
        <f>I163*J163</f>
        <v>40144580.737499997</v>
      </c>
      <c r="L163" s="22"/>
      <c r="M163" s="22"/>
      <c r="N163" s="22"/>
      <c r="O163" s="61" t="s">
        <v>27</v>
      </c>
      <c r="P163" s="24"/>
      <c r="Q163" s="25"/>
    </row>
    <row r="164" spans="2:17" ht="39" x14ac:dyDescent="0.25">
      <c r="B164" s="18" t="s">
        <v>18</v>
      </c>
      <c r="C164" s="19" t="s">
        <v>433</v>
      </c>
      <c r="D164" s="19" t="s">
        <v>434</v>
      </c>
      <c r="E164" s="19" t="s">
        <v>437</v>
      </c>
      <c r="F164" s="19" t="s">
        <v>438</v>
      </c>
      <c r="G164" s="57" t="s">
        <v>73</v>
      </c>
      <c r="H164" s="58" t="s">
        <v>262</v>
      </c>
      <c r="I164" s="22">
        <v>1</v>
      </c>
      <c r="J164" s="22">
        <f>44192554.5-305842.53</f>
        <v>43886711.969999999</v>
      </c>
      <c r="K164" s="22">
        <f t="shared" si="5"/>
        <v>43886711.969999999</v>
      </c>
      <c r="L164" s="22"/>
      <c r="M164" s="22"/>
      <c r="N164" s="22"/>
      <c r="O164" s="61" t="s">
        <v>27</v>
      </c>
      <c r="P164" s="24"/>
      <c r="Q164" s="25"/>
    </row>
    <row r="165" spans="2:17" ht="64.5" x14ac:dyDescent="0.25">
      <c r="B165" s="18" t="s">
        <v>18</v>
      </c>
      <c r="C165" s="19" t="s">
        <v>439</v>
      </c>
      <c r="D165" s="19" t="s">
        <v>440</v>
      </c>
      <c r="E165" s="19" t="s">
        <v>441</v>
      </c>
      <c r="F165" s="19" t="s">
        <v>442</v>
      </c>
      <c r="G165" s="57" t="s">
        <v>73</v>
      </c>
      <c r="H165" s="58" t="s">
        <v>262</v>
      </c>
      <c r="I165" s="22">
        <v>1</v>
      </c>
      <c r="J165" s="22">
        <f>8035714.3-31714.3</f>
        <v>8004000</v>
      </c>
      <c r="K165" s="22">
        <f t="shared" si="5"/>
        <v>8004000</v>
      </c>
      <c r="L165" s="22"/>
      <c r="M165" s="22"/>
      <c r="N165" s="22"/>
      <c r="O165" s="61" t="s">
        <v>27</v>
      </c>
      <c r="P165" s="24"/>
      <c r="Q165" s="25"/>
    </row>
    <row r="166" spans="2:17" ht="51.75" x14ac:dyDescent="0.25">
      <c r="B166" s="18" t="s">
        <v>18</v>
      </c>
      <c r="C166" s="19" t="s">
        <v>443</v>
      </c>
      <c r="D166" s="19" t="s">
        <v>444</v>
      </c>
      <c r="E166" s="19" t="s">
        <v>445</v>
      </c>
      <c r="F166" s="19" t="s">
        <v>446</v>
      </c>
      <c r="G166" s="57" t="s">
        <v>447</v>
      </c>
      <c r="H166" s="58" t="s">
        <v>262</v>
      </c>
      <c r="I166" s="22">
        <v>1</v>
      </c>
      <c r="J166" s="22">
        <f>9232142.85-2142.85</f>
        <v>9230000</v>
      </c>
      <c r="K166" s="22">
        <f t="shared" si="5"/>
        <v>9230000</v>
      </c>
      <c r="L166" s="22"/>
      <c r="M166" s="22"/>
      <c r="N166" s="22"/>
      <c r="O166" s="61" t="s">
        <v>27</v>
      </c>
      <c r="P166" s="24"/>
      <c r="Q166" s="25"/>
    </row>
    <row r="167" spans="2:17" ht="51.75" x14ac:dyDescent="0.25">
      <c r="B167" s="18" t="s">
        <v>18</v>
      </c>
      <c r="C167" s="19" t="s">
        <v>448</v>
      </c>
      <c r="D167" s="19" t="s">
        <v>444</v>
      </c>
      <c r="E167" s="19" t="s">
        <v>449</v>
      </c>
      <c r="F167" s="19" t="s">
        <v>450</v>
      </c>
      <c r="G167" s="57" t="s">
        <v>263</v>
      </c>
      <c r="H167" s="58" t="s">
        <v>262</v>
      </c>
      <c r="I167" s="22">
        <v>1</v>
      </c>
      <c r="J167" s="22">
        <v>133333</v>
      </c>
      <c r="K167" s="22">
        <f t="shared" si="5"/>
        <v>133333</v>
      </c>
      <c r="L167" s="22"/>
      <c r="M167" s="22"/>
      <c r="N167" s="22"/>
      <c r="O167" s="61" t="s">
        <v>27</v>
      </c>
      <c r="P167" s="24"/>
      <c r="Q167" s="25"/>
    </row>
    <row r="168" spans="2:17" ht="51.75" x14ac:dyDescent="0.25">
      <c r="B168" s="18" t="s">
        <v>18</v>
      </c>
      <c r="C168" s="19" t="s">
        <v>448</v>
      </c>
      <c r="D168" s="19" t="s">
        <v>444</v>
      </c>
      <c r="E168" s="19" t="s">
        <v>449</v>
      </c>
      <c r="F168" s="19" t="s">
        <v>450</v>
      </c>
      <c r="G168" s="57" t="s">
        <v>447</v>
      </c>
      <c r="H168" s="58" t="s">
        <v>262</v>
      </c>
      <c r="I168" s="22">
        <v>1</v>
      </c>
      <c r="J168" s="22">
        <f>1275000-255000</f>
        <v>1020000</v>
      </c>
      <c r="K168" s="22">
        <f t="shared" si="5"/>
        <v>1020000</v>
      </c>
      <c r="L168" s="22"/>
      <c r="M168" s="22"/>
      <c r="N168" s="22"/>
      <c r="O168" s="61" t="s">
        <v>27</v>
      </c>
      <c r="P168" s="24"/>
      <c r="Q168" s="25"/>
    </row>
    <row r="169" spans="2:17" ht="51.75" x14ac:dyDescent="0.25">
      <c r="B169" s="18" t="s">
        <v>18</v>
      </c>
      <c r="C169" s="19" t="s">
        <v>448</v>
      </c>
      <c r="D169" s="19" t="s">
        <v>444</v>
      </c>
      <c r="E169" s="19" t="s">
        <v>451</v>
      </c>
      <c r="F169" s="19" t="s">
        <v>452</v>
      </c>
      <c r="G169" s="57" t="s">
        <v>263</v>
      </c>
      <c r="H169" s="58" t="s">
        <v>262</v>
      </c>
      <c r="I169" s="22">
        <v>1</v>
      </c>
      <c r="J169" s="22">
        <v>146666.67000000001</v>
      </c>
      <c r="K169" s="22">
        <f t="shared" si="5"/>
        <v>146666.67000000001</v>
      </c>
      <c r="L169" s="22"/>
      <c r="M169" s="22"/>
      <c r="N169" s="22"/>
      <c r="O169" s="61" t="s">
        <v>27</v>
      </c>
      <c r="P169" s="24"/>
      <c r="Q169" s="25"/>
    </row>
    <row r="170" spans="2:17" ht="51.75" x14ac:dyDescent="0.25">
      <c r="B170" s="18" t="s">
        <v>18</v>
      </c>
      <c r="C170" s="19" t="s">
        <v>448</v>
      </c>
      <c r="D170" s="19" t="s">
        <v>444</v>
      </c>
      <c r="E170" s="19" t="s">
        <v>451</v>
      </c>
      <c r="F170" s="19" t="s">
        <v>452</v>
      </c>
      <c r="G170" s="57" t="s">
        <v>447</v>
      </c>
      <c r="H170" s="58" t="s">
        <v>262</v>
      </c>
      <c r="I170" s="22">
        <v>1</v>
      </c>
      <c r="J170" s="22">
        <f>1473750-323750</f>
        <v>1150000</v>
      </c>
      <c r="K170" s="22">
        <f t="shared" si="5"/>
        <v>1150000</v>
      </c>
      <c r="L170" s="22"/>
      <c r="M170" s="22"/>
      <c r="N170" s="22"/>
      <c r="O170" s="61" t="s">
        <v>27</v>
      </c>
      <c r="P170" s="24"/>
      <c r="Q170" s="25"/>
    </row>
    <row r="171" spans="2:17" ht="39" x14ac:dyDescent="0.25">
      <c r="B171" s="18" t="s">
        <v>18</v>
      </c>
      <c r="C171" s="19" t="s">
        <v>453</v>
      </c>
      <c r="D171" s="19" t="s">
        <v>454</v>
      </c>
      <c r="E171" s="19" t="s">
        <v>455</v>
      </c>
      <c r="F171" s="19" t="s">
        <v>456</v>
      </c>
      <c r="G171" s="57" t="s">
        <v>447</v>
      </c>
      <c r="H171" s="58" t="s">
        <v>262</v>
      </c>
      <c r="I171" s="22">
        <v>1</v>
      </c>
      <c r="J171" s="22">
        <f>2394047.6-744047.6</f>
        <v>1650000</v>
      </c>
      <c r="K171" s="22">
        <f>I171*J171</f>
        <v>1650000</v>
      </c>
      <c r="L171" s="22"/>
      <c r="M171" s="22"/>
      <c r="N171" s="22"/>
      <c r="O171" s="61" t="s">
        <v>53</v>
      </c>
      <c r="P171" s="24"/>
      <c r="Q171" s="25"/>
    </row>
    <row r="172" spans="2:17" ht="39" x14ac:dyDescent="0.25">
      <c r="B172" s="18" t="s">
        <v>18</v>
      </c>
      <c r="C172" s="19" t="s">
        <v>457</v>
      </c>
      <c r="D172" s="19" t="s">
        <v>458</v>
      </c>
      <c r="E172" s="19" t="s">
        <v>459</v>
      </c>
      <c r="F172" s="19" t="s">
        <v>460</v>
      </c>
      <c r="G172" s="57" t="s">
        <v>272</v>
      </c>
      <c r="H172" s="58" t="s">
        <v>262</v>
      </c>
      <c r="I172" s="22">
        <v>1</v>
      </c>
      <c r="J172" s="22">
        <f>3320000-215000</f>
        <v>3105000</v>
      </c>
      <c r="K172" s="22">
        <f t="shared" ref="K172:K232" si="6">I172*J172</f>
        <v>3105000</v>
      </c>
      <c r="L172" s="22"/>
      <c r="M172" s="22"/>
      <c r="N172" s="22"/>
      <c r="O172" s="61" t="s">
        <v>53</v>
      </c>
      <c r="P172" s="37"/>
      <c r="Q172" s="25"/>
    </row>
    <row r="173" spans="2:17" ht="39" x14ac:dyDescent="0.25">
      <c r="B173" s="18" t="s">
        <v>18</v>
      </c>
      <c r="C173" s="19" t="s">
        <v>453</v>
      </c>
      <c r="D173" s="19" t="s">
        <v>454</v>
      </c>
      <c r="E173" s="19" t="s">
        <v>461</v>
      </c>
      <c r="F173" s="19" t="s">
        <v>462</v>
      </c>
      <c r="G173" s="57" t="s">
        <v>263</v>
      </c>
      <c r="H173" s="58" t="s">
        <v>262</v>
      </c>
      <c r="I173" s="22">
        <v>1</v>
      </c>
      <c r="J173" s="22">
        <f>9666666.64+0.03</f>
        <v>9666666.6699999999</v>
      </c>
      <c r="K173" s="22">
        <f t="shared" si="6"/>
        <v>9666666.6699999999</v>
      </c>
      <c r="L173" s="22"/>
      <c r="M173" s="22"/>
      <c r="N173" s="22"/>
      <c r="O173" s="57" t="s">
        <v>27</v>
      </c>
      <c r="P173" s="37"/>
      <c r="Q173" s="25"/>
    </row>
    <row r="174" spans="2:17" ht="39" x14ac:dyDescent="0.25">
      <c r="B174" s="18" t="s">
        <v>18</v>
      </c>
      <c r="C174" s="19" t="s">
        <v>453</v>
      </c>
      <c r="D174" s="19" t="s">
        <v>454</v>
      </c>
      <c r="E174" s="19" t="s">
        <v>461</v>
      </c>
      <c r="F174" s="19" t="s">
        <v>462</v>
      </c>
      <c r="G174" s="57" t="s">
        <v>272</v>
      </c>
      <c r="H174" s="58" t="s">
        <v>262</v>
      </c>
      <c r="I174" s="22">
        <v>1</v>
      </c>
      <c r="J174" s="22">
        <f>32315400-7181200+8850225.87+1705704.49</f>
        <v>35690130.359999999</v>
      </c>
      <c r="K174" s="22">
        <f t="shared" si="6"/>
        <v>35690130.359999999</v>
      </c>
      <c r="L174" s="22"/>
      <c r="M174" s="22"/>
      <c r="N174" s="22"/>
      <c r="O174" s="57" t="s">
        <v>24</v>
      </c>
      <c r="P174" s="37"/>
      <c r="Q174" s="25"/>
    </row>
    <row r="175" spans="2:17" ht="39" x14ac:dyDescent="0.25">
      <c r="B175" s="18" t="s">
        <v>18</v>
      </c>
      <c r="C175" s="19" t="s">
        <v>453</v>
      </c>
      <c r="D175" s="19" t="s">
        <v>454</v>
      </c>
      <c r="E175" s="19" t="s">
        <v>463</v>
      </c>
      <c r="F175" s="19" t="s">
        <v>464</v>
      </c>
      <c r="G175" s="57" t="s">
        <v>447</v>
      </c>
      <c r="H175" s="58" t="s">
        <v>262</v>
      </c>
      <c r="I175" s="22">
        <v>1</v>
      </c>
      <c r="J175" s="22">
        <f>509310.7+96751.8-2781.27</f>
        <v>603281.23</v>
      </c>
      <c r="K175" s="22">
        <f>I175*J175</f>
        <v>603281.23</v>
      </c>
      <c r="L175" s="22"/>
      <c r="M175" s="22"/>
      <c r="N175" s="22"/>
      <c r="O175" s="61" t="s">
        <v>53</v>
      </c>
      <c r="P175" s="24"/>
      <c r="Q175" s="25"/>
    </row>
    <row r="176" spans="2:17" ht="39" x14ac:dyDescent="0.25">
      <c r="B176" s="18" t="s">
        <v>18</v>
      </c>
      <c r="C176" s="19" t="s">
        <v>433</v>
      </c>
      <c r="D176" s="19" t="s">
        <v>434</v>
      </c>
      <c r="E176" s="19" t="s">
        <v>465</v>
      </c>
      <c r="F176" s="19" t="s">
        <v>466</v>
      </c>
      <c r="G176" s="57" t="s">
        <v>263</v>
      </c>
      <c r="H176" s="58" t="s">
        <v>262</v>
      </c>
      <c r="I176" s="22">
        <v>1</v>
      </c>
      <c r="J176" s="22">
        <f>44997866.64/1.12</f>
        <v>40176666.642857142</v>
      </c>
      <c r="K176" s="22">
        <f>J176</f>
        <v>40176666.642857142</v>
      </c>
      <c r="L176" s="22"/>
      <c r="M176" s="22"/>
      <c r="N176" s="22"/>
      <c r="O176" s="61" t="s">
        <v>27</v>
      </c>
      <c r="P176" s="24"/>
      <c r="Q176" s="25"/>
    </row>
    <row r="177" spans="2:17" ht="39" x14ac:dyDescent="0.25">
      <c r="B177" s="18" t="s">
        <v>18</v>
      </c>
      <c r="C177" s="19" t="s">
        <v>433</v>
      </c>
      <c r="D177" s="19" t="s">
        <v>434</v>
      </c>
      <c r="E177" s="19" t="s">
        <v>465</v>
      </c>
      <c r="F177" s="19" t="s">
        <v>466</v>
      </c>
      <c r="G177" s="57" t="s">
        <v>272</v>
      </c>
      <c r="H177" s="58" t="s">
        <v>262</v>
      </c>
      <c r="I177" s="22">
        <v>1</v>
      </c>
      <c r="J177" s="22">
        <v>120433674.67500001</v>
      </c>
      <c r="K177" s="22">
        <f t="shared" si="6"/>
        <v>120433674.67500001</v>
      </c>
      <c r="L177" s="22"/>
      <c r="M177" s="22"/>
      <c r="N177" s="22"/>
      <c r="O177" s="61" t="s">
        <v>27</v>
      </c>
      <c r="P177" s="37"/>
      <c r="Q177" s="25"/>
    </row>
    <row r="178" spans="2:17" ht="51.75" x14ac:dyDescent="0.25">
      <c r="B178" s="18" t="s">
        <v>18</v>
      </c>
      <c r="C178" s="19" t="s">
        <v>467</v>
      </c>
      <c r="D178" s="19" t="s">
        <v>468</v>
      </c>
      <c r="E178" s="19" t="s">
        <v>469</v>
      </c>
      <c r="F178" s="19" t="s">
        <v>470</v>
      </c>
      <c r="G178" s="57" t="s">
        <v>447</v>
      </c>
      <c r="H178" s="58" t="s">
        <v>302</v>
      </c>
      <c r="I178" s="22">
        <v>1</v>
      </c>
      <c r="J178" s="22">
        <v>850000</v>
      </c>
      <c r="K178" s="22">
        <f t="shared" si="6"/>
        <v>850000</v>
      </c>
      <c r="L178" s="22"/>
      <c r="M178" s="22"/>
      <c r="N178" s="22"/>
      <c r="O178" s="57" t="s">
        <v>333</v>
      </c>
      <c r="P178" s="24"/>
      <c r="Q178" s="25"/>
    </row>
    <row r="179" spans="2:17" ht="39" x14ac:dyDescent="0.25">
      <c r="B179" s="18" t="s">
        <v>18</v>
      </c>
      <c r="C179" s="19" t="s">
        <v>471</v>
      </c>
      <c r="D179" s="19" t="s">
        <v>472</v>
      </c>
      <c r="E179" s="19" t="s">
        <v>473</v>
      </c>
      <c r="F179" s="19" t="s">
        <v>474</v>
      </c>
      <c r="G179" s="57" t="s">
        <v>447</v>
      </c>
      <c r="H179" s="58" t="s">
        <v>302</v>
      </c>
      <c r="I179" s="22">
        <v>1</v>
      </c>
      <c r="J179" s="22">
        <v>1031646</v>
      </c>
      <c r="K179" s="22">
        <f t="shared" si="6"/>
        <v>1031646</v>
      </c>
      <c r="L179" s="22"/>
      <c r="M179" s="22"/>
      <c r="N179" s="22"/>
      <c r="O179" s="57" t="s">
        <v>333</v>
      </c>
      <c r="P179" s="24"/>
      <c r="Q179" s="25"/>
    </row>
    <row r="180" spans="2:17" ht="30.75" customHeight="1" x14ac:dyDescent="0.25">
      <c r="B180" s="18" t="s">
        <v>18</v>
      </c>
      <c r="C180" s="19" t="s">
        <v>475</v>
      </c>
      <c r="D180" s="19" t="s">
        <v>476</v>
      </c>
      <c r="E180" s="19" t="s">
        <v>477</v>
      </c>
      <c r="F180" s="19" t="s">
        <v>478</v>
      </c>
      <c r="G180" s="57" t="s">
        <v>73</v>
      </c>
      <c r="H180" s="58" t="s">
        <v>262</v>
      </c>
      <c r="I180" s="22">
        <v>1</v>
      </c>
      <c r="J180" s="22">
        <f>40257360+4976160+2200152</f>
        <v>47433672</v>
      </c>
      <c r="K180" s="22">
        <f t="shared" si="6"/>
        <v>47433672</v>
      </c>
      <c r="L180" s="22"/>
      <c r="M180" s="22"/>
      <c r="N180" s="22"/>
      <c r="O180" s="61" t="s">
        <v>24</v>
      </c>
      <c r="P180" s="24"/>
      <c r="Q180" s="25"/>
    </row>
    <row r="181" spans="2:17" ht="39" customHeight="1" x14ac:dyDescent="0.25">
      <c r="B181" s="18" t="s">
        <v>18</v>
      </c>
      <c r="C181" s="19" t="s">
        <v>475</v>
      </c>
      <c r="D181" s="19" t="s">
        <v>476</v>
      </c>
      <c r="E181" s="19" t="s">
        <v>479</v>
      </c>
      <c r="F181" s="19" t="s">
        <v>480</v>
      </c>
      <c r="G181" s="57" t="s">
        <v>73</v>
      </c>
      <c r="H181" s="58" t="s">
        <v>262</v>
      </c>
      <c r="I181" s="22">
        <v>1</v>
      </c>
      <c r="J181" s="22">
        <f>1800000+342857.14</f>
        <v>2142857.14</v>
      </c>
      <c r="K181" s="22">
        <f t="shared" si="6"/>
        <v>2142857.14</v>
      </c>
      <c r="L181" s="22"/>
      <c r="M181" s="22"/>
      <c r="N181" s="22"/>
      <c r="O181" s="61" t="s">
        <v>24</v>
      </c>
      <c r="P181" s="24"/>
      <c r="Q181" s="25"/>
    </row>
    <row r="182" spans="2:17" ht="39" x14ac:dyDescent="0.25">
      <c r="B182" s="18" t="s">
        <v>18</v>
      </c>
      <c r="C182" s="19" t="s">
        <v>475</v>
      </c>
      <c r="D182" s="19" t="s">
        <v>476</v>
      </c>
      <c r="E182" s="19" t="s">
        <v>481</v>
      </c>
      <c r="F182" s="19" t="s">
        <v>482</v>
      </c>
      <c r="G182" s="57" t="s">
        <v>73</v>
      </c>
      <c r="H182" s="58" t="s">
        <v>262</v>
      </c>
      <c r="I182" s="22">
        <v>1</v>
      </c>
      <c r="J182" s="22">
        <v>221906971.81999999</v>
      </c>
      <c r="K182" s="22">
        <f t="shared" si="6"/>
        <v>221906971.81999999</v>
      </c>
      <c r="L182" s="22"/>
      <c r="M182" s="22"/>
      <c r="N182" s="22"/>
      <c r="O182" s="61" t="s">
        <v>27</v>
      </c>
      <c r="P182" s="24"/>
      <c r="Q182" s="25"/>
    </row>
    <row r="183" spans="2:17" ht="33" customHeight="1" x14ac:dyDescent="0.25">
      <c r="B183" s="18" t="s">
        <v>18</v>
      </c>
      <c r="C183" s="19" t="s">
        <v>475</v>
      </c>
      <c r="D183" s="19" t="s">
        <v>476</v>
      </c>
      <c r="E183" s="19" t="s">
        <v>483</v>
      </c>
      <c r="F183" s="19" t="s">
        <v>484</v>
      </c>
      <c r="G183" s="57" t="s">
        <v>447</v>
      </c>
      <c r="H183" s="58" t="s">
        <v>262</v>
      </c>
      <c r="I183" s="22">
        <v>1</v>
      </c>
      <c r="J183" s="22">
        <v>130116.00000000001</v>
      </c>
      <c r="K183" s="22">
        <f t="shared" si="6"/>
        <v>130116.00000000001</v>
      </c>
      <c r="L183" s="22"/>
      <c r="M183" s="22"/>
      <c r="N183" s="22"/>
      <c r="O183" s="57" t="s">
        <v>79</v>
      </c>
      <c r="P183" s="24"/>
      <c r="Q183" s="25"/>
    </row>
    <row r="184" spans="2:17" ht="35.25" customHeight="1" x14ac:dyDescent="0.25">
      <c r="B184" s="18" t="s">
        <v>18</v>
      </c>
      <c r="C184" s="19" t="s">
        <v>485</v>
      </c>
      <c r="D184" s="19" t="s">
        <v>486</v>
      </c>
      <c r="E184" s="19" t="s">
        <v>487</v>
      </c>
      <c r="F184" s="19" t="s">
        <v>488</v>
      </c>
      <c r="G184" s="57" t="s">
        <v>447</v>
      </c>
      <c r="H184" s="58" t="s">
        <v>262</v>
      </c>
      <c r="I184" s="22">
        <v>1</v>
      </c>
      <c r="J184" s="22">
        <v>750000</v>
      </c>
      <c r="K184" s="22">
        <f t="shared" si="6"/>
        <v>750000</v>
      </c>
      <c r="L184" s="22"/>
      <c r="M184" s="22"/>
      <c r="N184" s="22"/>
      <c r="O184" s="57" t="s">
        <v>279</v>
      </c>
      <c r="P184" s="24"/>
      <c r="Q184" s="25"/>
    </row>
    <row r="185" spans="2:17" ht="31.5" customHeight="1" x14ac:dyDescent="0.25">
      <c r="B185" s="18" t="s">
        <v>18</v>
      </c>
      <c r="C185" s="19" t="s">
        <v>475</v>
      </c>
      <c r="D185" s="19" t="s">
        <v>476</v>
      </c>
      <c r="E185" s="19" t="s">
        <v>489</v>
      </c>
      <c r="F185" s="19" t="s">
        <v>490</v>
      </c>
      <c r="G185" s="57" t="s">
        <v>447</v>
      </c>
      <c r="H185" s="58" t="s">
        <v>262</v>
      </c>
      <c r="I185" s="22">
        <v>1</v>
      </c>
      <c r="J185" s="22">
        <v>11999999.999999998</v>
      </c>
      <c r="K185" s="22">
        <f t="shared" si="6"/>
        <v>11999999.999999998</v>
      </c>
      <c r="L185" s="22"/>
      <c r="M185" s="22"/>
      <c r="N185" s="22"/>
      <c r="O185" s="57" t="s">
        <v>491</v>
      </c>
      <c r="P185" s="24"/>
      <c r="Q185" s="25"/>
    </row>
    <row r="186" spans="2:17" ht="34.5" customHeight="1" x14ac:dyDescent="0.25">
      <c r="B186" s="18" t="s">
        <v>18</v>
      </c>
      <c r="C186" s="19" t="s">
        <v>475</v>
      </c>
      <c r="D186" s="19" t="s">
        <v>476</v>
      </c>
      <c r="E186" s="19" t="s">
        <v>492</v>
      </c>
      <c r="F186" s="19" t="s">
        <v>493</v>
      </c>
      <c r="G186" s="57" t="s">
        <v>73</v>
      </c>
      <c r="H186" s="58" t="s">
        <v>262</v>
      </c>
      <c r="I186" s="22">
        <v>1</v>
      </c>
      <c r="J186" s="22">
        <v>8357142.8499999996</v>
      </c>
      <c r="K186" s="22">
        <f t="shared" si="6"/>
        <v>8357142.8499999996</v>
      </c>
      <c r="L186" s="22"/>
      <c r="M186" s="22"/>
      <c r="N186" s="22"/>
      <c r="O186" s="57" t="s">
        <v>494</v>
      </c>
      <c r="P186" s="24"/>
      <c r="Q186" s="25"/>
    </row>
    <row r="187" spans="2:17" ht="39" x14ac:dyDescent="0.25">
      <c r="B187" s="18" t="s">
        <v>18</v>
      </c>
      <c r="C187" s="19" t="s">
        <v>495</v>
      </c>
      <c r="D187" s="19" t="s">
        <v>496</v>
      </c>
      <c r="E187" s="19" t="s">
        <v>497</v>
      </c>
      <c r="F187" s="19" t="s">
        <v>498</v>
      </c>
      <c r="G187" s="57" t="s">
        <v>272</v>
      </c>
      <c r="H187" s="58" t="s">
        <v>262</v>
      </c>
      <c r="I187" s="22">
        <v>1</v>
      </c>
      <c r="J187" s="22">
        <f>214948800</f>
        <v>214948800</v>
      </c>
      <c r="K187" s="22">
        <f t="shared" si="6"/>
        <v>214948800</v>
      </c>
      <c r="L187" s="22"/>
      <c r="M187" s="22"/>
      <c r="N187" s="22"/>
      <c r="O187" s="57" t="s">
        <v>324</v>
      </c>
      <c r="P187" s="24"/>
      <c r="Q187" s="25"/>
    </row>
    <row r="188" spans="2:17" ht="39" x14ac:dyDescent="0.25">
      <c r="B188" s="18" t="s">
        <v>18</v>
      </c>
      <c r="C188" s="19" t="s">
        <v>499</v>
      </c>
      <c r="D188" s="19" t="s">
        <v>500</v>
      </c>
      <c r="E188" s="28" t="s">
        <v>501</v>
      </c>
      <c r="F188" s="28" t="s">
        <v>502</v>
      </c>
      <c r="G188" s="59" t="s">
        <v>272</v>
      </c>
      <c r="H188" s="60" t="s">
        <v>262</v>
      </c>
      <c r="I188" s="43">
        <v>1</v>
      </c>
      <c r="J188" s="43">
        <f>20240000+10033600-1473600</f>
        <v>28800000</v>
      </c>
      <c r="K188" s="43">
        <f t="shared" si="6"/>
        <v>28800000</v>
      </c>
      <c r="L188" s="43"/>
      <c r="M188" s="43"/>
      <c r="N188" s="43"/>
      <c r="O188" s="61" t="s">
        <v>24</v>
      </c>
      <c r="P188" s="24"/>
      <c r="Q188" s="25"/>
    </row>
    <row r="189" spans="2:17" ht="39" x14ac:dyDescent="0.25">
      <c r="B189" s="18" t="s">
        <v>18</v>
      </c>
      <c r="C189" s="19" t="s">
        <v>499</v>
      </c>
      <c r="D189" s="19" t="s">
        <v>500</v>
      </c>
      <c r="E189" s="19" t="s">
        <v>503</v>
      </c>
      <c r="F189" s="19" t="s">
        <v>504</v>
      </c>
      <c r="G189" s="57" t="s">
        <v>73</v>
      </c>
      <c r="H189" s="58" t="s">
        <v>262</v>
      </c>
      <c r="I189" s="22">
        <v>1</v>
      </c>
      <c r="J189" s="22">
        <f>12880000+6115200</f>
        <v>18995200</v>
      </c>
      <c r="K189" s="22">
        <f t="shared" si="6"/>
        <v>18995200</v>
      </c>
      <c r="L189" s="22"/>
      <c r="M189" s="22"/>
      <c r="N189" s="22"/>
      <c r="O189" s="61" t="s">
        <v>24</v>
      </c>
      <c r="P189" s="24"/>
      <c r="Q189" s="25"/>
    </row>
    <row r="190" spans="2:17" ht="39" x14ac:dyDescent="0.25">
      <c r="B190" s="18" t="s">
        <v>18</v>
      </c>
      <c r="C190" s="19" t="s">
        <v>499</v>
      </c>
      <c r="D190" s="19" t="s">
        <v>500</v>
      </c>
      <c r="E190" s="19" t="s">
        <v>505</v>
      </c>
      <c r="F190" s="19" t="s">
        <v>506</v>
      </c>
      <c r="G190" s="57" t="s">
        <v>272</v>
      </c>
      <c r="H190" s="58" t="s">
        <v>262</v>
      </c>
      <c r="I190" s="22">
        <v>1</v>
      </c>
      <c r="J190" s="22">
        <f>13800000+6679200</f>
        <v>20479200</v>
      </c>
      <c r="K190" s="22">
        <f t="shared" si="6"/>
        <v>20479200</v>
      </c>
      <c r="L190" s="22"/>
      <c r="M190" s="22"/>
      <c r="N190" s="22"/>
      <c r="O190" s="61" t="s">
        <v>24</v>
      </c>
      <c r="P190" s="24"/>
      <c r="Q190" s="25"/>
    </row>
    <row r="191" spans="2:17" ht="42" hidden="1" customHeight="1" x14ac:dyDescent="0.25">
      <c r="B191" s="18" t="s">
        <v>18</v>
      </c>
      <c r="C191" s="19" t="s">
        <v>499</v>
      </c>
      <c r="D191" s="19" t="s">
        <v>500</v>
      </c>
      <c r="E191" s="19" t="s">
        <v>507</v>
      </c>
      <c r="F191" s="19" t="s">
        <v>508</v>
      </c>
      <c r="G191" s="20" t="s">
        <v>447</v>
      </c>
      <c r="H191" s="21" t="s">
        <v>262</v>
      </c>
      <c r="I191" s="32"/>
      <c r="J191" s="44">
        <f>6906160.7-6906160.7</f>
        <v>0</v>
      </c>
      <c r="K191" s="32">
        <f>I191*J191</f>
        <v>0</v>
      </c>
      <c r="L191" s="22"/>
      <c r="M191" s="22"/>
      <c r="N191" s="22"/>
      <c r="O191" s="20" t="s">
        <v>324</v>
      </c>
      <c r="P191" s="24"/>
      <c r="Q191" s="25"/>
    </row>
    <row r="192" spans="2:17" ht="39" x14ac:dyDescent="0.25">
      <c r="B192" s="18" t="s">
        <v>18</v>
      </c>
      <c r="C192" s="19" t="s">
        <v>495</v>
      </c>
      <c r="D192" s="19" t="s">
        <v>496</v>
      </c>
      <c r="E192" s="19" t="s">
        <v>509</v>
      </c>
      <c r="F192" s="19" t="s">
        <v>510</v>
      </c>
      <c r="G192" s="57" t="s">
        <v>447</v>
      </c>
      <c r="H192" s="58" t="s">
        <v>262</v>
      </c>
      <c r="I192" s="22">
        <v>1</v>
      </c>
      <c r="J192" s="22">
        <f>2298403.6+841740.15</f>
        <v>3140143.75</v>
      </c>
      <c r="K192" s="22">
        <f>I192*J192</f>
        <v>3140143.75</v>
      </c>
      <c r="L192" s="22"/>
      <c r="M192" s="22"/>
      <c r="N192" s="22"/>
      <c r="O192" s="57" t="s">
        <v>324</v>
      </c>
      <c r="P192" s="24"/>
      <c r="Q192" s="25"/>
    </row>
    <row r="193" spans="2:17" ht="39" x14ac:dyDescent="0.25">
      <c r="B193" s="18" t="s">
        <v>18</v>
      </c>
      <c r="C193" s="19" t="s">
        <v>495</v>
      </c>
      <c r="D193" s="19" t="s">
        <v>496</v>
      </c>
      <c r="E193" s="19" t="s">
        <v>511</v>
      </c>
      <c r="F193" s="19" t="s">
        <v>512</v>
      </c>
      <c r="G193" s="57" t="s">
        <v>447</v>
      </c>
      <c r="H193" s="58" t="s">
        <v>262</v>
      </c>
      <c r="I193" s="22">
        <v>1</v>
      </c>
      <c r="J193" s="22">
        <f>690000+200400</f>
        <v>890400</v>
      </c>
      <c r="K193" s="22">
        <f>I193*J193</f>
        <v>890400</v>
      </c>
      <c r="L193" s="22"/>
      <c r="M193" s="22"/>
      <c r="N193" s="22"/>
      <c r="O193" s="57" t="s">
        <v>324</v>
      </c>
      <c r="P193" s="24"/>
      <c r="Q193" s="25"/>
    </row>
    <row r="194" spans="2:17" ht="26.25" x14ac:dyDescent="0.25">
      <c r="B194" s="18" t="s">
        <v>18</v>
      </c>
      <c r="C194" s="19" t="s">
        <v>513</v>
      </c>
      <c r="D194" s="19" t="s">
        <v>514</v>
      </c>
      <c r="E194" s="19" t="s">
        <v>515</v>
      </c>
      <c r="F194" s="19" t="s">
        <v>516</v>
      </c>
      <c r="G194" s="57" t="s">
        <v>73</v>
      </c>
      <c r="H194" s="58" t="s">
        <v>517</v>
      </c>
      <c r="I194" s="22">
        <v>1</v>
      </c>
      <c r="J194" s="22">
        <v>1755633.9</v>
      </c>
      <c r="K194" s="22">
        <f t="shared" si="6"/>
        <v>1755633.9</v>
      </c>
      <c r="L194" s="22"/>
      <c r="M194" s="22"/>
      <c r="N194" s="22"/>
      <c r="O194" s="57" t="s">
        <v>333</v>
      </c>
      <c r="P194" s="24"/>
      <c r="Q194" s="25"/>
    </row>
    <row r="195" spans="2:17" ht="45.75" customHeight="1" x14ac:dyDescent="0.25">
      <c r="B195" s="18" t="s">
        <v>18</v>
      </c>
      <c r="C195" s="19" t="s">
        <v>475</v>
      </c>
      <c r="D195" s="19" t="s">
        <v>476</v>
      </c>
      <c r="E195" s="19" t="s">
        <v>518</v>
      </c>
      <c r="F195" s="19" t="s">
        <v>519</v>
      </c>
      <c r="G195" s="57" t="s">
        <v>447</v>
      </c>
      <c r="H195" s="58" t="s">
        <v>262</v>
      </c>
      <c r="I195" s="22">
        <v>1</v>
      </c>
      <c r="J195" s="22">
        <v>1742400</v>
      </c>
      <c r="K195" s="22">
        <f t="shared" si="6"/>
        <v>1742400</v>
      </c>
      <c r="L195" s="22"/>
      <c r="M195" s="22"/>
      <c r="N195" s="22"/>
      <c r="O195" s="57" t="s">
        <v>79</v>
      </c>
      <c r="P195" s="24"/>
      <c r="Q195" s="25"/>
    </row>
    <row r="196" spans="2:17" ht="39" x14ac:dyDescent="0.25">
      <c r="B196" s="18" t="s">
        <v>18</v>
      </c>
      <c r="C196" s="19" t="s">
        <v>499</v>
      </c>
      <c r="D196" s="19" t="s">
        <v>500</v>
      </c>
      <c r="E196" s="19" t="s">
        <v>520</v>
      </c>
      <c r="F196" s="19" t="s">
        <v>521</v>
      </c>
      <c r="G196" s="57" t="s">
        <v>447</v>
      </c>
      <c r="H196" s="58" t="s">
        <v>262</v>
      </c>
      <c r="I196" s="22">
        <v>1</v>
      </c>
      <c r="J196" s="22">
        <v>827999.99999999988</v>
      </c>
      <c r="K196" s="22">
        <f t="shared" si="6"/>
        <v>827999.99999999988</v>
      </c>
      <c r="L196" s="22"/>
      <c r="M196" s="22"/>
      <c r="N196" s="22"/>
      <c r="O196" s="57" t="s">
        <v>324</v>
      </c>
      <c r="P196" s="24"/>
      <c r="Q196" s="25"/>
    </row>
    <row r="197" spans="2:17" ht="64.5" x14ac:dyDescent="0.25">
      <c r="B197" s="18" t="s">
        <v>18</v>
      </c>
      <c r="C197" s="19" t="s">
        <v>522</v>
      </c>
      <c r="D197" s="19" t="s">
        <v>523</v>
      </c>
      <c r="E197" s="19" t="s">
        <v>524</v>
      </c>
      <c r="F197" s="19" t="s">
        <v>525</v>
      </c>
      <c r="G197" s="57" t="s">
        <v>73</v>
      </c>
      <c r="H197" s="58" t="s">
        <v>262</v>
      </c>
      <c r="I197" s="22">
        <v>1</v>
      </c>
      <c r="J197" s="22">
        <v>12300599.999999998</v>
      </c>
      <c r="K197" s="22">
        <f t="shared" si="6"/>
        <v>12300599.999999998</v>
      </c>
      <c r="L197" s="22"/>
      <c r="M197" s="22"/>
      <c r="N197" s="22"/>
      <c r="O197" s="57" t="s">
        <v>27</v>
      </c>
      <c r="P197" s="24"/>
      <c r="Q197" s="25"/>
    </row>
    <row r="198" spans="2:17" ht="39" x14ac:dyDescent="0.25">
      <c r="B198" s="18" t="s">
        <v>18</v>
      </c>
      <c r="C198" s="19" t="s">
        <v>495</v>
      </c>
      <c r="D198" s="19" t="s">
        <v>496</v>
      </c>
      <c r="E198" s="19" t="s">
        <v>526</v>
      </c>
      <c r="F198" s="19" t="s">
        <v>527</v>
      </c>
      <c r="G198" s="57" t="s">
        <v>447</v>
      </c>
      <c r="H198" s="58" t="s">
        <v>262</v>
      </c>
      <c r="I198" s="22">
        <v>1</v>
      </c>
      <c r="J198" s="22">
        <v>7903340.2000000002</v>
      </c>
      <c r="K198" s="22">
        <f>I198*J198</f>
        <v>7903340.2000000002</v>
      </c>
      <c r="L198" s="22"/>
      <c r="M198" s="22"/>
      <c r="N198" s="22"/>
      <c r="O198" s="57" t="s">
        <v>324</v>
      </c>
      <c r="P198" s="24"/>
      <c r="Q198" s="25"/>
    </row>
    <row r="199" spans="2:17" ht="39" x14ac:dyDescent="0.25">
      <c r="B199" s="18" t="s">
        <v>18</v>
      </c>
      <c r="C199" s="19" t="s">
        <v>499</v>
      </c>
      <c r="D199" s="19" t="s">
        <v>500</v>
      </c>
      <c r="E199" s="19" t="s">
        <v>528</v>
      </c>
      <c r="F199" s="19" t="s">
        <v>529</v>
      </c>
      <c r="G199" s="57" t="s">
        <v>447</v>
      </c>
      <c r="H199" s="58" t="s">
        <v>262</v>
      </c>
      <c r="I199" s="22">
        <v>1</v>
      </c>
      <c r="J199" s="22">
        <v>8293892.8499999996</v>
      </c>
      <c r="K199" s="22">
        <f t="shared" si="6"/>
        <v>8293892.8499999996</v>
      </c>
      <c r="L199" s="22"/>
      <c r="M199" s="22"/>
      <c r="N199" s="22"/>
      <c r="O199" s="57" t="s">
        <v>324</v>
      </c>
      <c r="P199" s="24"/>
      <c r="Q199" s="25"/>
    </row>
    <row r="200" spans="2:17" ht="39" x14ac:dyDescent="0.25">
      <c r="B200" s="18" t="s">
        <v>18</v>
      </c>
      <c r="C200" s="19" t="s">
        <v>499</v>
      </c>
      <c r="D200" s="19" t="s">
        <v>500</v>
      </c>
      <c r="E200" s="19" t="s">
        <v>530</v>
      </c>
      <c r="F200" s="19" t="s">
        <v>531</v>
      </c>
      <c r="G200" s="57" t="s">
        <v>447</v>
      </c>
      <c r="H200" s="58" t="s">
        <v>262</v>
      </c>
      <c r="I200" s="22">
        <v>1</v>
      </c>
      <c r="J200" s="22">
        <f>6116988-495330.87</f>
        <v>5621657.1299999999</v>
      </c>
      <c r="K200" s="22">
        <f t="shared" si="6"/>
        <v>5621657.1299999999</v>
      </c>
      <c r="L200" s="22"/>
      <c r="M200" s="22"/>
      <c r="N200" s="22"/>
      <c r="O200" s="57" t="s">
        <v>319</v>
      </c>
      <c r="P200" s="24"/>
      <c r="Q200" s="25"/>
    </row>
    <row r="201" spans="2:17" ht="39" x14ac:dyDescent="0.25">
      <c r="B201" s="18" t="s">
        <v>18</v>
      </c>
      <c r="C201" s="19" t="s">
        <v>495</v>
      </c>
      <c r="D201" s="19" t="s">
        <v>496</v>
      </c>
      <c r="E201" s="19" t="s">
        <v>532</v>
      </c>
      <c r="F201" s="19" t="s">
        <v>533</v>
      </c>
      <c r="G201" s="57" t="s">
        <v>73</v>
      </c>
      <c r="H201" s="58" t="s">
        <v>262</v>
      </c>
      <c r="I201" s="22">
        <v>1</v>
      </c>
      <c r="J201" s="22">
        <v>39486607.149999999</v>
      </c>
      <c r="K201" s="22">
        <f t="shared" si="6"/>
        <v>39486607.149999999</v>
      </c>
      <c r="L201" s="22"/>
      <c r="M201" s="22"/>
      <c r="N201" s="22"/>
      <c r="O201" s="57" t="s">
        <v>53</v>
      </c>
      <c r="P201" s="24"/>
      <c r="Q201" s="25"/>
    </row>
    <row r="202" spans="2:17" ht="39" x14ac:dyDescent="0.25">
      <c r="B202" s="18" t="s">
        <v>18</v>
      </c>
      <c r="C202" s="19" t="s">
        <v>495</v>
      </c>
      <c r="D202" s="19" t="s">
        <v>496</v>
      </c>
      <c r="E202" s="19" t="s">
        <v>534</v>
      </c>
      <c r="F202" s="19" t="s">
        <v>535</v>
      </c>
      <c r="G202" s="57" t="s">
        <v>272</v>
      </c>
      <c r="H202" s="58" t="s">
        <v>262</v>
      </c>
      <c r="I202" s="22">
        <v>1</v>
      </c>
      <c r="J202" s="22">
        <v>25256340</v>
      </c>
      <c r="K202" s="22">
        <f t="shared" si="6"/>
        <v>25256340</v>
      </c>
      <c r="L202" s="22"/>
      <c r="M202" s="22"/>
      <c r="N202" s="22"/>
      <c r="O202" s="57" t="s">
        <v>53</v>
      </c>
      <c r="P202" s="24"/>
      <c r="Q202" s="25"/>
    </row>
    <row r="203" spans="2:17" ht="39" x14ac:dyDescent="0.25">
      <c r="B203" s="18" t="s">
        <v>18</v>
      </c>
      <c r="C203" s="19" t="s">
        <v>495</v>
      </c>
      <c r="D203" s="19" t="s">
        <v>496</v>
      </c>
      <c r="E203" s="19" t="s">
        <v>536</v>
      </c>
      <c r="F203" s="19" t="s">
        <v>537</v>
      </c>
      <c r="G203" s="57" t="s">
        <v>272</v>
      </c>
      <c r="H203" s="58" t="s">
        <v>262</v>
      </c>
      <c r="I203" s="22">
        <v>1</v>
      </c>
      <c r="J203" s="22">
        <f>10637326.5-106326.5</f>
        <v>10531000</v>
      </c>
      <c r="K203" s="22">
        <f t="shared" si="6"/>
        <v>10531000</v>
      </c>
      <c r="L203" s="22"/>
      <c r="M203" s="22"/>
      <c r="N203" s="22"/>
      <c r="O203" s="57" t="s">
        <v>27</v>
      </c>
      <c r="P203" s="24"/>
      <c r="Q203" s="25"/>
    </row>
    <row r="204" spans="2:17" ht="39" x14ac:dyDescent="0.25">
      <c r="B204" s="18" t="s">
        <v>18</v>
      </c>
      <c r="C204" s="19" t="s">
        <v>495</v>
      </c>
      <c r="D204" s="19" t="s">
        <v>496</v>
      </c>
      <c r="E204" s="19" t="s">
        <v>538</v>
      </c>
      <c r="F204" s="19" t="s">
        <v>539</v>
      </c>
      <c r="G204" s="57" t="s">
        <v>447</v>
      </c>
      <c r="H204" s="58" t="s">
        <v>262</v>
      </c>
      <c r="I204" s="22">
        <v>1</v>
      </c>
      <c r="J204" s="22">
        <v>2773575.25</v>
      </c>
      <c r="K204" s="22">
        <f t="shared" si="6"/>
        <v>2773575.25</v>
      </c>
      <c r="L204" s="22"/>
      <c r="M204" s="22"/>
      <c r="N204" s="22"/>
      <c r="O204" s="57" t="s">
        <v>53</v>
      </c>
      <c r="P204" s="24"/>
      <c r="Q204" s="25"/>
    </row>
    <row r="205" spans="2:17" ht="51.75" x14ac:dyDescent="0.25">
      <c r="B205" s="18" t="s">
        <v>18</v>
      </c>
      <c r="C205" s="19" t="s">
        <v>495</v>
      </c>
      <c r="D205" s="19" t="s">
        <v>496</v>
      </c>
      <c r="E205" s="19" t="s">
        <v>540</v>
      </c>
      <c r="F205" s="19" t="s">
        <v>541</v>
      </c>
      <c r="G205" s="57" t="s">
        <v>447</v>
      </c>
      <c r="H205" s="58" t="s">
        <v>262</v>
      </c>
      <c r="I205" s="22">
        <v>1</v>
      </c>
      <c r="J205" s="22">
        <v>229319.99999999997</v>
      </c>
      <c r="K205" s="22">
        <f t="shared" si="6"/>
        <v>229319.99999999997</v>
      </c>
      <c r="L205" s="22"/>
      <c r="M205" s="22"/>
      <c r="N205" s="22"/>
      <c r="O205" s="57" t="s">
        <v>324</v>
      </c>
      <c r="P205" s="24"/>
      <c r="Q205" s="25"/>
    </row>
    <row r="206" spans="2:17" ht="39" x14ac:dyDescent="0.25">
      <c r="B206" s="18" t="s">
        <v>18</v>
      </c>
      <c r="C206" s="19" t="s">
        <v>495</v>
      </c>
      <c r="D206" s="19" t="s">
        <v>496</v>
      </c>
      <c r="E206" s="19" t="s">
        <v>542</v>
      </c>
      <c r="F206" s="19" t="s">
        <v>543</v>
      </c>
      <c r="G206" s="57" t="s">
        <v>447</v>
      </c>
      <c r="H206" s="58" t="s">
        <v>262</v>
      </c>
      <c r="I206" s="22">
        <v>1</v>
      </c>
      <c r="J206" s="22">
        <v>675500</v>
      </c>
      <c r="K206" s="22">
        <f t="shared" si="6"/>
        <v>675500</v>
      </c>
      <c r="L206" s="22"/>
      <c r="M206" s="22"/>
      <c r="N206" s="22"/>
      <c r="O206" s="57" t="s">
        <v>324</v>
      </c>
      <c r="P206" s="24"/>
      <c r="Q206" s="25"/>
    </row>
    <row r="207" spans="2:17" ht="39" hidden="1" x14ac:dyDescent="0.25">
      <c r="B207" s="18" t="s">
        <v>18</v>
      </c>
      <c r="C207" s="19" t="s">
        <v>495</v>
      </c>
      <c r="D207" s="19" t="s">
        <v>496</v>
      </c>
      <c r="E207" s="19" t="s">
        <v>544</v>
      </c>
      <c r="F207" s="19" t="s">
        <v>545</v>
      </c>
      <c r="G207" s="20" t="s">
        <v>22</v>
      </c>
      <c r="H207" s="21" t="s">
        <v>262</v>
      </c>
      <c r="I207" s="32"/>
      <c r="J207" s="32"/>
      <c r="K207" s="32">
        <v>0</v>
      </c>
      <c r="L207" s="22"/>
      <c r="M207" s="22"/>
      <c r="N207" s="22"/>
      <c r="O207" s="20" t="s">
        <v>27</v>
      </c>
      <c r="P207" s="24"/>
      <c r="Q207" s="25"/>
    </row>
    <row r="208" spans="2:17" ht="39" x14ac:dyDescent="0.25">
      <c r="B208" s="18" t="s">
        <v>18</v>
      </c>
      <c r="C208" s="19" t="s">
        <v>495</v>
      </c>
      <c r="D208" s="19" t="s">
        <v>496</v>
      </c>
      <c r="E208" s="19" t="s">
        <v>546</v>
      </c>
      <c r="F208" s="19" t="s">
        <v>547</v>
      </c>
      <c r="G208" s="57" t="s">
        <v>22</v>
      </c>
      <c r="H208" s="58" t="s">
        <v>262</v>
      </c>
      <c r="I208" s="22">
        <v>1</v>
      </c>
      <c r="J208" s="22">
        <f>3490882.5-407129.82</f>
        <v>3083752.68</v>
      </c>
      <c r="K208" s="22">
        <f t="shared" si="6"/>
        <v>3083752.68</v>
      </c>
      <c r="L208" s="22"/>
      <c r="M208" s="22"/>
      <c r="N208" s="22"/>
      <c r="O208" s="57" t="s">
        <v>24</v>
      </c>
      <c r="P208" s="24"/>
      <c r="Q208" s="25"/>
    </row>
    <row r="209" spans="2:17" ht="39" x14ac:dyDescent="0.25">
      <c r="B209" s="18" t="s">
        <v>18</v>
      </c>
      <c r="C209" s="19" t="s">
        <v>495</v>
      </c>
      <c r="D209" s="19" t="s">
        <v>496</v>
      </c>
      <c r="E209" s="19" t="s">
        <v>548</v>
      </c>
      <c r="F209" s="19" t="s">
        <v>549</v>
      </c>
      <c r="G209" s="57" t="s">
        <v>22</v>
      </c>
      <c r="H209" s="58" t="s">
        <v>262</v>
      </c>
      <c r="I209" s="22">
        <v>1</v>
      </c>
      <c r="J209" s="22">
        <v>6927227.9999999991</v>
      </c>
      <c r="K209" s="22">
        <f t="shared" si="6"/>
        <v>6927227.9999999991</v>
      </c>
      <c r="L209" s="22"/>
      <c r="M209" s="22"/>
      <c r="N209" s="22"/>
      <c r="O209" s="57" t="s">
        <v>53</v>
      </c>
      <c r="P209" s="24"/>
      <c r="Q209" s="25"/>
    </row>
    <row r="210" spans="2:17" ht="39" x14ac:dyDescent="0.25">
      <c r="B210" s="18" t="s">
        <v>18</v>
      </c>
      <c r="C210" s="19" t="s">
        <v>499</v>
      </c>
      <c r="D210" s="19" t="s">
        <v>500</v>
      </c>
      <c r="E210" s="19" t="s">
        <v>550</v>
      </c>
      <c r="F210" s="19" t="s">
        <v>551</v>
      </c>
      <c r="G210" s="57" t="s">
        <v>22</v>
      </c>
      <c r="H210" s="58" t="s">
        <v>262</v>
      </c>
      <c r="I210" s="22">
        <v>1</v>
      </c>
      <c r="J210" s="22">
        <v>3827199.9999999995</v>
      </c>
      <c r="K210" s="22">
        <f t="shared" si="6"/>
        <v>3827199.9999999995</v>
      </c>
      <c r="L210" s="22"/>
      <c r="M210" s="22"/>
      <c r="N210" s="22"/>
      <c r="O210" s="57" t="s">
        <v>27</v>
      </c>
      <c r="P210" s="24"/>
      <c r="Q210" s="25"/>
    </row>
    <row r="211" spans="2:17" ht="39" x14ac:dyDescent="0.25">
      <c r="B211" s="18" t="s">
        <v>18</v>
      </c>
      <c r="C211" s="19" t="s">
        <v>495</v>
      </c>
      <c r="D211" s="19" t="s">
        <v>496</v>
      </c>
      <c r="E211" s="19" t="s">
        <v>552</v>
      </c>
      <c r="F211" s="19" t="s">
        <v>553</v>
      </c>
      <c r="G211" s="57" t="s">
        <v>22</v>
      </c>
      <c r="H211" s="58" t="s">
        <v>262</v>
      </c>
      <c r="I211" s="22">
        <v>1</v>
      </c>
      <c r="J211" s="22">
        <f>7468971.4-3768814.26</f>
        <v>3700157.1400000006</v>
      </c>
      <c r="K211" s="22">
        <f t="shared" si="6"/>
        <v>3700157.1400000006</v>
      </c>
      <c r="L211" s="22"/>
      <c r="M211" s="22"/>
      <c r="N211" s="22"/>
      <c r="O211" s="57" t="s">
        <v>24</v>
      </c>
      <c r="P211" s="24"/>
      <c r="Q211" s="25"/>
    </row>
    <row r="212" spans="2:17" ht="51.75" x14ac:dyDescent="0.25">
      <c r="B212" s="18" t="s">
        <v>18</v>
      </c>
      <c r="C212" s="19" t="s">
        <v>495</v>
      </c>
      <c r="D212" s="19" t="s">
        <v>496</v>
      </c>
      <c r="E212" s="19" t="s">
        <v>554</v>
      </c>
      <c r="F212" s="19" t="s">
        <v>555</v>
      </c>
      <c r="G212" s="57" t="s">
        <v>22</v>
      </c>
      <c r="H212" s="58" t="s">
        <v>262</v>
      </c>
      <c r="I212" s="22">
        <v>1</v>
      </c>
      <c r="J212" s="22">
        <v>690000</v>
      </c>
      <c r="K212" s="22">
        <f t="shared" si="6"/>
        <v>690000</v>
      </c>
      <c r="L212" s="22"/>
      <c r="M212" s="22"/>
      <c r="N212" s="22"/>
      <c r="O212" s="57" t="s">
        <v>24</v>
      </c>
      <c r="P212" s="24"/>
      <c r="Q212" s="25"/>
    </row>
    <row r="213" spans="2:17" ht="64.5" x14ac:dyDescent="0.25">
      <c r="B213" s="18" t="s">
        <v>18</v>
      </c>
      <c r="C213" s="19" t="s">
        <v>495</v>
      </c>
      <c r="D213" s="19" t="s">
        <v>496</v>
      </c>
      <c r="E213" s="19" t="s">
        <v>556</v>
      </c>
      <c r="F213" s="19" t="s">
        <v>557</v>
      </c>
      <c r="G213" s="57" t="s">
        <v>22</v>
      </c>
      <c r="H213" s="58" t="s">
        <v>262</v>
      </c>
      <c r="I213" s="22">
        <v>1</v>
      </c>
      <c r="J213" s="22">
        <v>828000</v>
      </c>
      <c r="K213" s="22">
        <f t="shared" si="6"/>
        <v>828000</v>
      </c>
      <c r="L213" s="22"/>
      <c r="M213" s="22"/>
      <c r="N213" s="22"/>
      <c r="O213" s="57" t="s">
        <v>24</v>
      </c>
      <c r="P213" s="24"/>
      <c r="Q213" s="25"/>
    </row>
    <row r="214" spans="2:17" ht="82.5" customHeight="1" x14ac:dyDescent="0.25">
      <c r="B214" s="18" t="s">
        <v>18</v>
      </c>
      <c r="C214" s="19" t="s">
        <v>495</v>
      </c>
      <c r="D214" s="19" t="s">
        <v>496</v>
      </c>
      <c r="E214" s="19" t="s">
        <v>558</v>
      </c>
      <c r="F214" s="19" t="s">
        <v>559</v>
      </c>
      <c r="G214" s="57" t="s">
        <v>22</v>
      </c>
      <c r="H214" s="58" t="s">
        <v>262</v>
      </c>
      <c r="I214" s="22">
        <v>1</v>
      </c>
      <c r="J214" s="22">
        <v>258888</v>
      </c>
      <c r="K214" s="22">
        <f t="shared" si="6"/>
        <v>258888</v>
      </c>
      <c r="L214" s="22"/>
      <c r="M214" s="22"/>
      <c r="N214" s="22"/>
      <c r="O214" s="57" t="s">
        <v>24</v>
      </c>
      <c r="P214" s="24"/>
      <c r="Q214" s="25"/>
    </row>
    <row r="215" spans="2:17" ht="102" customHeight="1" x14ac:dyDescent="0.25">
      <c r="B215" s="18" t="s">
        <v>18</v>
      </c>
      <c r="C215" s="19" t="s">
        <v>495</v>
      </c>
      <c r="D215" s="19" t="s">
        <v>496</v>
      </c>
      <c r="E215" s="19" t="s">
        <v>560</v>
      </c>
      <c r="F215" s="19" t="s">
        <v>561</v>
      </c>
      <c r="G215" s="57" t="s">
        <v>22</v>
      </c>
      <c r="H215" s="58" t="s">
        <v>262</v>
      </c>
      <c r="I215" s="22">
        <v>1</v>
      </c>
      <c r="J215" s="22">
        <v>55155.6</v>
      </c>
      <c r="K215" s="22">
        <f t="shared" si="6"/>
        <v>55155.6</v>
      </c>
      <c r="L215" s="22"/>
      <c r="M215" s="22"/>
      <c r="N215" s="22"/>
      <c r="O215" s="57" t="s">
        <v>24</v>
      </c>
      <c r="P215" s="24"/>
      <c r="Q215" s="25"/>
    </row>
    <row r="216" spans="2:17" ht="39" x14ac:dyDescent="0.25">
      <c r="B216" s="18" t="s">
        <v>18</v>
      </c>
      <c r="C216" s="19" t="s">
        <v>495</v>
      </c>
      <c r="D216" s="19" t="s">
        <v>496</v>
      </c>
      <c r="E216" s="19" t="s">
        <v>562</v>
      </c>
      <c r="F216" s="19" t="s">
        <v>563</v>
      </c>
      <c r="G216" s="57" t="s">
        <v>22</v>
      </c>
      <c r="H216" s="58" t="s">
        <v>262</v>
      </c>
      <c r="I216" s="22">
        <v>1</v>
      </c>
      <c r="J216" s="22">
        <f>9553050+2016661.61</f>
        <v>11569711.609999999</v>
      </c>
      <c r="K216" s="22">
        <f t="shared" si="6"/>
        <v>11569711.609999999</v>
      </c>
      <c r="L216" s="22"/>
      <c r="M216" s="22"/>
      <c r="N216" s="22"/>
      <c r="O216" s="57" t="s">
        <v>319</v>
      </c>
      <c r="P216" s="24"/>
      <c r="Q216" s="25"/>
    </row>
    <row r="217" spans="2:17" ht="39" x14ac:dyDescent="0.25">
      <c r="B217" s="18" t="s">
        <v>18</v>
      </c>
      <c r="C217" s="19" t="s">
        <v>495</v>
      </c>
      <c r="D217" s="19" t="s">
        <v>496</v>
      </c>
      <c r="E217" s="19" t="s">
        <v>564</v>
      </c>
      <c r="F217" s="19" t="s">
        <v>565</v>
      </c>
      <c r="G217" s="57" t="s">
        <v>22</v>
      </c>
      <c r="H217" s="58" t="s">
        <v>262</v>
      </c>
      <c r="I217" s="22">
        <v>1</v>
      </c>
      <c r="J217" s="22">
        <v>139285.71</v>
      </c>
      <c r="K217" s="22">
        <f t="shared" si="6"/>
        <v>139285.71</v>
      </c>
      <c r="L217" s="22"/>
      <c r="M217" s="22"/>
      <c r="N217" s="22"/>
      <c r="O217" s="57" t="s">
        <v>319</v>
      </c>
      <c r="P217" s="24"/>
      <c r="Q217" s="25"/>
    </row>
    <row r="218" spans="2:17" ht="39" x14ac:dyDescent="0.25">
      <c r="B218" s="18" t="s">
        <v>18</v>
      </c>
      <c r="C218" s="19" t="s">
        <v>495</v>
      </c>
      <c r="D218" s="19" t="s">
        <v>496</v>
      </c>
      <c r="E218" s="19" t="s">
        <v>566</v>
      </c>
      <c r="F218" s="19" t="s">
        <v>567</v>
      </c>
      <c r="G218" s="57" t="s">
        <v>272</v>
      </c>
      <c r="H218" s="58" t="s">
        <v>262</v>
      </c>
      <c r="I218" s="22">
        <v>1</v>
      </c>
      <c r="J218" s="22">
        <v>191960759.84999999</v>
      </c>
      <c r="K218" s="22">
        <f t="shared" si="6"/>
        <v>191960759.84999999</v>
      </c>
      <c r="L218" s="22"/>
      <c r="M218" s="22"/>
      <c r="N218" s="22"/>
      <c r="O218" s="57" t="s">
        <v>53</v>
      </c>
      <c r="P218" s="37"/>
      <c r="Q218" s="25"/>
    </row>
    <row r="219" spans="2:17" ht="39" x14ac:dyDescent="0.25">
      <c r="B219" s="18" t="s">
        <v>18</v>
      </c>
      <c r="C219" s="19" t="s">
        <v>495</v>
      </c>
      <c r="D219" s="19" t="s">
        <v>496</v>
      </c>
      <c r="E219" s="19" t="s">
        <v>568</v>
      </c>
      <c r="F219" s="19" t="s">
        <v>569</v>
      </c>
      <c r="G219" s="57" t="s">
        <v>272</v>
      </c>
      <c r="H219" s="58" t="s">
        <v>262</v>
      </c>
      <c r="I219" s="22">
        <v>1</v>
      </c>
      <c r="J219" s="22">
        <f>205370039.06+115911522.55</f>
        <v>321281561.61000001</v>
      </c>
      <c r="K219" s="22">
        <f t="shared" si="6"/>
        <v>321281561.61000001</v>
      </c>
      <c r="L219" s="22"/>
      <c r="M219" s="22"/>
      <c r="N219" s="22"/>
      <c r="O219" s="57" t="s">
        <v>79</v>
      </c>
      <c r="P219" s="37"/>
      <c r="Q219" s="25"/>
    </row>
    <row r="220" spans="2:17" ht="39" x14ac:dyDescent="0.25">
      <c r="B220" s="18" t="s">
        <v>18</v>
      </c>
      <c r="C220" s="19" t="s">
        <v>495</v>
      </c>
      <c r="D220" s="19" t="s">
        <v>496</v>
      </c>
      <c r="E220" s="19" t="s">
        <v>570</v>
      </c>
      <c r="F220" s="19" t="s">
        <v>571</v>
      </c>
      <c r="G220" s="57" t="s">
        <v>272</v>
      </c>
      <c r="H220" s="58" t="s">
        <v>262</v>
      </c>
      <c r="I220" s="22">
        <v>1</v>
      </c>
      <c r="J220" s="22">
        <f>28908700-2708700</f>
        <v>26200000</v>
      </c>
      <c r="K220" s="22">
        <f t="shared" si="6"/>
        <v>26200000</v>
      </c>
      <c r="L220" s="22"/>
      <c r="M220" s="22"/>
      <c r="N220" s="22"/>
      <c r="O220" s="57" t="s">
        <v>53</v>
      </c>
      <c r="P220" s="37"/>
      <c r="Q220" s="25"/>
    </row>
    <row r="221" spans="2:17" ht="39" x14ac:dyDescent="0.25">
      <c r="B221" s="18" t="s">
        <v>18</v>
      </c>
      <c r="C221" s="19" t="s">
        <v>495</v>
      </c>
      <c r="D221" s="19" t="s">
        <v>496</v>
      </c>
      <c r="E221" s="19" t="s">
        <v>572</v>
      </c>
      <c r="F221" s="19" t="s">
        <v>573</v>
      </c>
      <c r="G221" s="57" t="s">
        <v>272</v>
      </c>
      <c r="H221" s="58" t="s">
        <v>262</v>
      </c>
      <c r="I221" s="22">
        <v>1</v>
      </c>
      <c r="J221" s="22">
        <v>18310669.640000001</v>
      </c>
      <c r="K221" s="22">
        <f t="shared" si="6"/>
        <v>18310669.640000001</v>
      </c>
      <c r="L221" s="22"/>
      <c r="M221" s="22"/>
      <c r="N221" s="22"/>
      <c r="O221" s="57" t="s">
        <v>79</v>
      </c>
      <c r="P221" s="37"/>
      <c r="Q221" s="25"/>
    </row>
    <row r="222" spans="2:17" ht="39" x14ac:dyDescent="0.25">
      <c r="B222" s="18" t="s">
        <v>18</v>
      </c>
      <c r="C222" s="19" t="s">
        <v>495</v>
      </c>
      <c r="D222" s="19" t="s">
        <v>496</v>
      </c>
      <c r="E222" s="19" t="s">
        <v>574</v>
      </c>
      <c r="F222" s="19" t="s">
        <v>575</v>
      </c>
      <c r="G222" s="57" t="s">
        <v>272</v>
      </c>
      <c r="H222" s="58" t="s">
        <v>262</v>
      </c>
      <c r="I222" s="22">
        <v>1</v>
      </c>
      <c r="J222" s="22">
        <f>787975057-69975057</f>
        <v>718000000</v>
      </c>
      <c r="K222" s="22">
        <f>I222*J222</f>
        <v>718000000</v>
      </c>
      <c r="L222" s="22"/>
      <c r="M222" s="22"/>
      <c r="N222" s="22"/>
      <c r="O222" s="57" t="s">
        <v>53</v>
      </c>
      <c r="P222" s="37"/>
      <c r="Q222" s="25"/>
    </row>
    <row r="223" spans="2:17" ht="39" x14ac:dyDescent="0.25">
      <c r="B223" s="18" t="s">
        <v>18</v>
      </c>
      <c r="C223" s="19" t="s">
        <v>495</v>
      </c>
      <c r="D223" s="19" t="s">
        <v>496</v>
      </c>
      <c r="E223" s="19" t="s">
        <v>576</v>
      </c>
      <c r="F223" s="19" t="s">
        <v>577</v>
      </c>
      <c r="G223" s="57" t="s">
        <v>22</v>
      </c>
      <c r="H223" s="58" t="s">
        <v>262</v>
      </c>
      <c r="I223" s="22">
        <v>1</v>
      </c>
      <c r="J223" s="22">
        <f>4178917+485083-653797.32</f>
        <v>4010202.68</v>
      </c>
      <c r="K223" s="22">
        <f t="shared" si="6"/>
        <v>4010202.68</v>
      </c>
      <c r="L223" s="22"/>
      <c r="M223" s="22"/>
      <c r="N223" s="22"/>
      <c r="O223" s="57" t="s">
        <v>324</v>
      </c>
      <c r="P223" s="24"/>
      <c r="Q223" s="25"/>
    </row>
    <row r="224" spans="2:17" ht="39" x14ac:dyDescent="0.25">
      <c r="B224" s="18" t="s">
        <v>18</v>
      </c>
      <c r="C224" s="19" t="s">
        <v>495</v>
      </c>
      <c r="D224" s="19" t="s">
        <v>496</v>
      </c>
      <c r="E224" s="19" t="s">
        <v>578</v>
      </c>
      <c r="F224" s="19" t="s">
        <v>579</v>
      </c>
      <c r="G224" s="57" t="s">
        <v>22</v>
      </c>
      <c r="H224" s="58" t="s">
        <v>262</v>
      </c>
      <c r="I224" s="22">
        <v>1</v>
      </c>
      <c r="J224" s="22">
        <f>1663750+717221.43-106294.64</f>
        <v>2274676.79</v>
      </c>
      <c r="K224" s="22">
        <f t="shared" si="6"/>
        <v>2274676.79</v>
      </c>
      <c r="L224" s="22"/>
      <c r="M224" s="22"/>
      <c r="N224" s="22"/>
      <c r="O224" s="57" t="s">
        <v>324</v>
      </c>
      <c r="P224" s="24"/>
      <c r="Q224" s="25"/>
    </row>
    <row r="225" spans="2:20" ht="39" x14ac:dyDescent="0.25">
      <c r="B225" s="18" t="s">
        <v>18</v>
      </c>
      <c r="C225" s="19" t="s">
        <v>495</v>
      </c>
      <c r="D225" s="19" t="s">
        <v>496</v>
      </c>
      <c r="E225" s="19" t="s">
        <v>580</v>
      </c>
      <c r="F225" s="19" t="s">
        <v>581</v>
      </c>
      <c r="G225" s="57" t="s">
        <v>73</v>
      </c>
      <c r="H225" s="58" t="s">
        <v>262</v>
      </c>
      <c r="I225" s="22">
        <v>1</v>
      </c>
      <c r="J225" s="22">
        <f>61735741-35224133.86-1311607.14</f>
        <v>25200000</v>
      </c>
      <c r="K225" s="22">
        <f>I225*J225</f>
        <v>25200000</v>
      </c>
      <c r="L225" s="22"/>
      <c r="M225" s="22"/>
      <c r="N225" s="22"/>
      <c r="O225" s="57" t="s">
        <v>53</v>
      </c>
      <c r="P225" s="24"/>
      <c r="Q225" s="25"/>
      <c r="R225" s="9"/>
      <c r="S225" s="9"/>
    </row>
    <row r="226" spans="2:20" ht="38.25" customHeight="1" x14ac:dyDescent="0.25">
      <c r="B226" s="18" t="s">
        <v>18</v>
      </c>
      <c r="C226" s="19" t="s">
        <v>495</v>
      </c>
      <c r="D226" s="19" t="s">
        <v>496</v>
      </c>
      <c r="E226" s="19" t="s">
        <v>582</v>
      </c>
      <c r="F226" s="19" t="s">
        <v>583</v>
      </c>
      <c r="G226" s="57" t="s">
        <v>272</v>
      </c>
      <c r="H226" s="58" t="s">
        <v>262</v>
      </c>
      <c r="I226" s="22">
        <v>1</v>
      </c>
      <c r="J226" s="22">
        <v>5755084.5700000003</v>
      </c>
      <c r="K226" s="22">
        <f>I226*J226</f>
        <v>5755084.5700000003</v>
      </c>
      <c r="L226" s="22"/>
      <c r="M226" s="22"/>
      <c r="N226" s="22"/>
      <c r="O226" s="57" t="s">
        <v>79</v>
      </c>
      <c r="P226" s="24"/>
      <c r="Q226" s="25"/>
      <c r="R226" s="9"/>
      <c r="S226" s="9"/>
    </row>
    <row r="227" spans="2:20" ht="39" x14ac:dyDescent="0.25">
      <c r="B227" s="18" t="s">
        <v>18</v>
      </c>
      <c r="C227" s="19" t="s">
        <v>495</v>
      </c>
      <c r="D227" s="19" t="s">
        <v>496</v>
      </c>
      <c r="E227" s="19" t="s">
        <v>584</v>
      </c>
      <c r="F227" s="19" t="s">
        <v>585</v>
      </c>
      <c r="G227" s="57" t="s">
        <v>272</v>
      </c>
      <c r="H227" s="58" t="s">
        <v>262</v>
      </c>
      <c r="I227" s="22">
        <v>1</v>
      </c>
      <c r="J227" s="22">
        <v>902820.68</v>
      </c>
      <c r="K227" s="22">
        <f>I227*J227</f>
        <v>902820.68</v>
      </c>
      <c r="L227" s="22"/>
      <c r="M227" s="22"/>
      <c r="N227" s="22"/>
      <c r="O227" s="57" t="s">
        <v>79</v>
      </c>
      <c r="P227" s="24"/>
      <c r="Q227" s="25"/>
      <c r="R227" s="9"/>
      <c r="S227" s="9"/>
    </row>
    <row r="228" spans="2:20" ht="39" x14ac:dyDescent="0.25">
      <c r="B228" s="18" t="s">
        <v>18</v>
      </c>
      <c r="C228" s="19" t="s">
        <v>495</v>
      </c>
      <c r="D228" s="19" t="s">
        <v>496</v>
      </c>
      <c r="E228" s="19" t="s">
        <v>586</v>
      </c>
      <c r="F228" s="19" t="s">
        <v>587</v>
      </c>
      <c r="G228" s="57" t="s">
        <v>272</v>
      </c>
      <c r="H228" s="58" t="s">
        <v>262</v>
      </c>
      <c r="I228" s="22">
        <v>1</v>
      </c>
      <c r="J228" s="22">
        <f>23480625-260625</f>
        <v>23220000</v>
      </c>
      <c r="K228" s="22">
        <f t="shared" si="6"/>
        <v>23220000</v>
      </c>
      <c r="L228" s="22"/>
      <c r="M228" s="22"/>
      <c r="N228" s="22"/>
      <c r="O228" s="57" t="s">
        <v>53</v>
      </c>
      <c r="P228" s="24"/>
      <c r="Q228" s="25"/>
      <c r="R228" s="9"/>
      <c r="S228" s="9"/>
    </row>
    <row r="229" spans="2:20" ht="39" x14ac:dyDescent="0.25">
      <c r="B229" s="18" t="s">
        <v>18</v>
      </c>
      <c r="C229" s="19" t="s">
        <v>588</v>
      </c>
      <c r="D229" s="19" t="s">
        <v>589</v>
      </c>
      <c r="E229" s="19" t="s">
        <v>590</v>
      </c>
      <c r="F229" s="19" t="s">
        <v>591</v>
      </c>
      <c r="G229" s="57" t="s">
        <v>272</v>
      </c>
      <c r="H229" s="58" t="s">
        <v>262</v>
      </c>
      <c r="I229" s="22">
        <v>1</v>
      </c>
      <c r="J229" s="22">
        <v>37837028</v>
      </c>
      <c r="K229" s="22">
        <f t="shared" si="6"/>
        <v>37837028</v>
      </c>
      <c r="L229" s="22"/>
      <c r="M229" s="22"/>
      <c r="N229" s="22"/>
      <c r="O229" s="57" t="s">
        <v>53</v>
      </c>
      <c r="P229" s="24"/>
      <c r="Q229" s="25"/>
      <c r="R229" s="9"/>
      <c r="S229" s="9"/>
    </row>
    <row r="230" spans="2:20" ht="39" x14ac:dyDescent="0.25">
      <c r="B230" s="18" t="s">
        <v>18</v>
      </c>
      <c r="C230" s="19" t="s">
        <v>495</v>
      </c>
      <c r="D230" s="19" t="s">
        <v>496</v>
      </c>
      <c r="E230" s="19" t="s">
        <v>592</v>
      </c>
      <c r="F230" s="19" t="s">
        <v>593</v>
      </c>
      <c r="G230" s="57" t="s">
        <v>272</v>
      </c>
      <c r="H230" s="58" t="s">
        <v>262</v>
      </c>
      <c r="I230" s="22">
        <v>1</v>
      </c>
      <c r="J230" s="22">
        <v>33639900</v>
      </c>
      <c r="K230" s="22">
        <f t="shared" si="6"/>
        <v>33639900</v>
      </c>
      <c r="L230" s="22"/>
      <c r="M230" s="22"/>
      <c r="N230" s="22"/>
      <c r="O230" s="57" t="s">
        <v>53</v>
      </c>
      <c r="P230" s="24"/>
      <c r="Q230" s="25"/>
      <c r="R230" s="9"/>
      <c r="S230" s="9"/>
    </row>
    <row r="231" spans="2:20" ht="28.5" customHeight="1" x14ac:dyDescent="0.25">
      <c r="B231" s="18" t="s">
        <v>18</v>
      </c>
      <c r="C231" s="19" t="s">
        <v>594</v>
      </c>
      <c r="D231" s="19" t="s">
        <v>595</v>
      </c>
      <c r="E231" s="19" t="s">
        <v>596</v>
      </c>
      <c r="F231" s="19" t="s">
        <v>597</v>
      </c>
      <c r="G231" s="57" t="s">
        <v>272</v>
      </c>
      <c r="H231" s="58" t="s">
        <v>262</v>
      </c>
      <c r="I231" s="22">
        <v>1</v>
      </c>
      <c r="J231" s="22">
        <f>144730224-800000</f>
        <v>143930224</v>
      </c>
      <c r="K231" s="22">
        <f t="shared" si="6"/>
        <v>143930224</v>
      </c>
      <c r="L231" s="22"/>
      <c r="M231" s="22"/>
      <c r="N231" s="22"/>
      <c r="O231" s="57" t="s">
        <v>27</v>
      </c>
      <c r="P231" s="24"/>
      <c r="Q231" s="25"/>
      <c r="R231" s="9"/>
      <c r="S231" s="9"/>
    </row>
    <row r="232" spans="2:20" ht="30.75" customHeight="1" x14ac:dyDescent="0.25">
      <c r="B232" s="18" t="s">
        <v>18</v>
      </c>
      <c r="C232" s="19" t="s">
        <v>284</v>
      </c>
      <c r="D232" s="19" t="s">
        <v>285</v>
      </c>
      <c r="E232" s="19" t="s">
        <v>598</v>
      </c>
      <c r="F232" s="19" t="s">
        <v>599</v>
      </c>
      <c r="G232" s="57" t="s">
        <v>272</v>
      </c>
      <c r="H232" s="58" t="s">
        <v>262</v>
      </c>
      <c r="I232" s="22">
        <v>1</v>
      </c>
      <c r="J232" s="22">
        <f>59598000-2996663</f>
        <v>56601337</v>
      </c>
      <c r="K232" s="22">
        <f t="shared" si="6"/>
        <v>56601337</v>
      </c>
      <c r="L232" s="22"/>
      <c r="M232" s="22"/>
      <c r="N232" s="22"/>
      <c r="O232" s="57" t="s">
        <v>27</v>
      </c>
      <c r="P232" s="24"/>
      <c r="Q232" s="25"/>
      <c r="R232" s="9"/>
      <c r="S232" s="9"/>
    </row>
    <row r="233" spans="2:20" ht="35.25" customHeight="1" x14ac:dyDescent="0.25">
      <c r="B233" s="18" t="s">
        <v>18</v>
      </c>
      <c r="C233" s="19" t="s">
        <v>600</v>
      </c>
      <c r="D233" s="19" t="s">
        <v>601</v>
      </c>
      <c r="E233" s="19" t="s">
        <v>602</v>
      </c>
      <c r="F233" s="19" t="s">
        <v>603</v>
      </c>
      <c r="G233" s="57" t="s">
        <v>73</v>
      </c>
      <c r="H233" s="58" t="s">
        <v>262</v>
      </c>
      <c r="I233" s="22">
        <v>1</v>
      </c>
      <c r="J233" s="22">
        <v>934950</v>
      </c>
      <c r="K233" s="22">
        <f>I233*J233</f>
        <v>934950</v>
      </c>
      <c r="L233" s="22"/>
      <c r="M233" s="22"/>
      <c r="N233" s="22"/>
      <c r="O233" s="57" t="s">
        <v>324</v>
      </c>
      <c r="P233" s="24"/>
      <c r="Q233" s="25"/>
      <c r="R233" s="9"/>
      <c r="S233" s="9"/>
    </row>
    <row r="234" spans="2:20" ht="30" customHeight="1" x14ac:dyDescent="0.25">
      <c r="B234" s="18" t="s">
        <v>18</v>
      </c>
      <c r="C234" s="19" t="s">
        <v>600</v>
      </c>
      <c r="D234" s="19" t="s">
        <v>601</v>
      </c>
      <c r="E234" s="19" t="s">
        <v>604</v>
      </c>
      <c r="F234" s="19" t="s">
        <v>605</v>
      </c>
      <c r="G234" s="57" t="s">
        <v>73</v>
      </c>
      <c r="H234" s="58" t="s">
        <v>262</v>
      </c>
      <c r="I234" s="22">
        <v>1</v>
      </c>
      <c r="J234" s="22">
        <f>2287843.7-1194762.39</f>
        <v>1093081.3100000003</v>
      </c>
      <c r="K234" s="22">
        <f>I234*J234</f>
        <v>1093081.3100000003</v>
      </c>
      <c r="L234" s="22"/>
      <c r="M234" s="22"/>
      <c r="N234" s="22"/>
      <c r="O234" s="57" t="s">
        <v>390</v>
      </c>
      <c r="P234" s="24"/>
      <c r="Q234" s="62"/>
      <c r="R234" s="62"/>
      <c r="S234" s="62"/>
      <c r="T234" s="63"/>
    </row>
    <row r="235" spans="2:20" ht="39" x14ac:dyDescent="0.25">
      <c r="B235" s="18" t="s">
        <v>18</v>
      </c>
      <c r="C235" s="19" t="s">
        <v>606</v>
      </c>
      <c r="D235" s="19" t="s">
        <v>607</v>
      </c>
      <c r="E235" s="19" t="s">
        <v>608</v>
      </c>
      <c r="F235" s="19" t="s">
        <v>609</v>
      </c>
      <c r="G235" s="57" t="s">
        <v>73</v>
      </c>
      <c r="H235" s="58" t="s">
        <v>262</v>
      </c>
      <c r="I235" s="22">
        <v>1</v>
      </c>
      <c r="J235" s="22">
        <v>6378750</v>
      </c>
      <c r="K235" s="22">
        <f t="shared" ref="K235:K244" si="7">I235*J235</f>
        <v>6378750</v>
      </c>
      <c r="L235" s="22"/>
      <c r="M235" s="22"/>
      <c r="N235" s="22"/>
      <c r="O235" s="57" t="s">
        <v>27</v>
      </c>
      <c r="P235" s="37"/>
      <c r="Q235" s="25"/>
      <c r="R235" s="9"/>
      <c r="S235" s="9"/>
    </row>
    <row r="236" spans="2:20" ht="39" x14ac:dyDescent="0.25">
      <c r="B236" s="18" t="s">
        <v>18</v>
      </c>
      <c r="C236" s="19" t="s">
        <v>606</v>
      </c>
      <c r="D236" s="19" t="s">
        <v>607</v>
      </c>
      <c r="E236" s="19" t="s">
        <v>608</v>
      </c>
      <c r="F236" s="19" t="s">
        <v>609</v>
      </c>
      <c r="G236" s="57" t="s">
        <v>73</v>
      </c>
      <c r="H236" s="58" t="s">
        <v>262</v>
      </c>
      <c r="I236" s="22">
        <v>1</v>
      </c>
      <c r="J236" s="22">
        <f>6371400+1948842.85714281</f>
        <v>8320242.8571428098</v>
      </c>
      <c r="K236" s="22">
        <f t="shared" si="7"/>
        <v>8320242.8571428098</v>
      </c>
      <c r="L236" s="22"/>
      <c r="M236" s="22"/>
      <c r="N236" s="22"/>
      <c r="O236" s="57" t="s">
        <v>27</v>
      </c>
      <c r="P236" s="37"/>
      <c r="Q236" s="25"/>
      <c r="R236" s="9"/>
      <c r="S236" s="9"/>
    </row>
    <row r="237" spans="2:20" ht="39" x14ac:dyDescent="0.25">
      <c r="B237" s="18" t="s">
        <v>18</v>
      </c>
      <c r="C237" s="19" t="s">
        <v>606</v>
      </c>
      <c r="D237" s="19" t="s">
        <v>607</v>
      </c>
      <c r="E237" s="19" t="s">
        <v>608</v>
      </c>
      <c r="F237" s="19" t="s">
        <v>609</v>
      </c>
      <c r="G237" s="57" t="s">
        <v>263</v>
      </c>
      <c r="H237" s="58" t="s">
        <v>262</v>
      </c>
      <c r="I237" s="22">
        <v>1</v>
      </c>
      <c r="J237" s="22">
        <v>56217.86</v>
      </c>
      <c r="K237" s="22">
        <f t="shared" si="7"/>
        <v>56217.86</v>
      </c>
      <c r="L237" s="22"/>
      <c r="M237" s="22"/>
      <c r="N237" s="22"/>
      <c r="O237" s="57" t="s">
        <v>79</v>
      </c>
      <c r="P237" s="37"/>
      <c r="Q237" s="25"/>
      <c r="R237" s="9"/>
      <c r="S237" s="9"/>
    </row>
    <row r="238" spans="2:20" ht="39" x14ac:dyDescent="0.25">
      <c r="B238" s="18" t="s">
        <v>18</v>
      </c>
      <c r="C238" s="19" t="s">
        <v>606</v>
      </c>
      <c r="D238" s="19" t="s">
        <v>607</v>
      </c>
      <c r="E238" s="19" t="s">
        <v>608</v>
      </c>
      <c r="F238" s="19" t="s">
        <v>609</v>
      </c>
      <c r="G238" s="57" t="s">
        <v>263</v>
      </c>
      <c r="H238" s="58" t="s">
        <v>262</v>
      </c>
      <c r="I238" s="22">
        <v>1</v>
      </c>
      <c r="J238" s="22">
        <v>23473957.149999999</v>
      </c>
      <c r="K238" s="22">
        <f t="shared" si="7"/>
        <v>23473957.149999999</v>
      </c>
      <c r="L238" s="22"/>
      <c r="M238" s="22"/>
      <c r="N238" s="22"/>
      <c r="O238" s="57" t="s">
        <v>79</v>
      </c>
      <c r="P238" s="37"/>
      <c r="Q238" s="25"/>
      <c r="R238" s="9"/>
      <c r="S238" s="9"/>
    </row>
    <row r="239" spans="2:20" ht="37.5" customHeight="1" x14ac:dyDescent="0.25">
      <c r="B239" s="18" t="s">
        <v>18</v>
      </c>
      <c r="C239" s="19" t="s">
        <v>606</v>
      </c>
      <c r="D239" s="19" t="s">
        <v>607</v>
      </c>
      <c r="E239" s="19" t="s">
        <v>610</v>
      </c>
      <c r="F239" s="19" t="s">
        <v>611</v>
      </c>
      <c r="G239" s="57" t="s">
        <v>73</v>
      </c>
      <c r="H239" s="58" t="s">
        <v>262</v>
      </c>
      <c r="I239" s="22">
        <v>1</v>
      </c>
      <c r="J239" s="22">
        <f>53825805-10765161-21530322</f>
        <v>21530322</v>
      </c>
      <c r="K239" s="22">
        <f t="shared" si="7"/>
        <v>21530322</v>
      </c>
      <c r="L239" s="22"/>
      <c r="M239" s="22"/>
      <c r="N239" s="22"/>
      <c r="O239" s="57" t="s">
        <v>53</v>
      </c>
      <c r="P239" s="37"/>
      <c r="Q239" s="25"/>
      <c r="R239" s="9"/>
      <c r="S239" s="9"/>
    </row>
    <row r="240" spans="2:20" ht="37.5" customHeight="1" x14ac:dyDescent="0.25">
      <c r="B240" s="18" t="s">
        <v>18</v>
      </c>
      <c r="C240" s="19" t="s">
        <v>606</v>
      </c>
      <c r="D240" s="19" t="s">
        <v>607</v>
      </c>
      <c r="E240" s="19" t="s">
        <v>612</v>
      </c>
      <c r="F240" s="19" t="s">
        <v>613</v>
      </c>
      <c r="G240" s="57" t="s">
        <v>73</v>
      </c>
      <c r="H240" s="58" t="s">
        <v>262</v>
      </c>
      <c r="I240" s="22">
        <v>1</v>
      </c>
      <c r="J240" s="22">
        <f>21530322+7398246</f>
        <v>28928568</v>
      </c>
      <c r="K240" s="22">
        <f t="shared" si="7"/>
        <v>28928568</v>
      </c>
      <c r="L240" s="22"/>
      <c r="M240" s="22"/>
      <c r="N240" s="22"/>
      <c r="O240" s="57" t="s">
        <v>53</v>
      </c>
      <c r="P240" s="37"/>
      <c r="Q240" s="25"/>
      <c r="R240" s="9"/>
      <c r="S240" s="9"/>
    </row>
    <row r="241" spans="2:17" ht="37.5" customHeight="1" x14ac:dyDescent="0.25">
      <c r="B241" s="18" t="s">
        <v>18</v>
      </c>
      <c r="C241" s="19" t="s">
        <v>614</v>
      </c>
      <c r="D241" s="19" t="s">
        <v>615</v>
      </c>
      <c r="E241" s="19" t="s">
        <v>616</v>
      </c>
      <c r="F241" s="19" t="s">
        <v>617</v>
      </c>
      <c r="G241" s="57" t="s">
        <v>263</v>
      </c>
      <c r="H241" s="58" t="s">
        <v>262</v>
      </c>
      <c r="I241" s="22">
        <v>1</v>
      </c>
      <c r="J241" s="22">
        <v>2770562.5449999999</v>
      </c>
      <c r="K241" s="22">
        <f t="shared" si="7"/>
        <v>2770562.5449999999</v>
      </c>
      <c r="L241" s="22"/>
      <c r="M241" s="22"/>
      <c r="N241" s="22"/>
      <c r="O241" s="57" t="s">
        <v>27</v>
      </c>
      <c r="P241" s="37"/>
      <c r="Q241" s="25"/>
    </row>
    <row r="242" spans="2:17" ht="30.75" customHeight="1" x14ac:dyDescent="0.25">
      <c r="B242" s="18" t="s">
        <v>18</v>
      </c>
      <c r="C242" s="19" t="s">
        <v>614</v>
      </c>
      <c r="D242" s="19" t="s">
        <v>615</v>
      </c>
      <c r="E242" s="19" t="s">
        <v>616</v>
      </c>
      <c r="F242" s="19" t="s">
        <v>617</v>
      </c>
      <c r="G242" s="57" t="s">
        <v>73</v>
      </c>
      <c r="H242" s="58" t="s">
        <v>262</v>
      </c>
      <c r="I242" s="22">
        <v>1</v>
      </c>
      <c r="J242" s="22">
        <f>22500000-3783169.64-2939053.36</f>
        <v>15777777</v>
      </c>
      <c r="K242" s="22">
        <f t="shared" si="7"/>
        <v>15777777</v>
      </c>
      <c r="L242" s="22"/>
      <c r="M242" s="22"/>
      <c r="N242" s="22"/>
      <c r="O242" s="57" t="s">
        <v>27</v>
      </c>
      <c r="P242" s="37"/>
      <c r="Q242" s="25"/>
    </row>
    <row r="243" spans="2:17" ht="26.25" x14ac:dyDescent="0.25">
      <c r="B243" s="18" t="s">
        <v>18</v>
      </c>
      <c r="C243" s="19" t="s">
        <v>250</v>
      </c>
      <c r="D243" s="19" t="s">
        <v>251</v>
      </c>
      <c r="E243" s="19" t="s">
        <v>618</v>
      </c>
      <c r="F243" s="19" t="s">
        <v>619</v>
      </c>
      <c r="G243" s="57" t="s">
        <v>22</v>
      </c>
      <c r="H243" s="58" t="s">
        <v>23</v>
      </c>
      <c r="I243" s="22">
        <v>42</v>
      </c>
      <c r="J243" s="22">
        <f>123900/I243</f>
        <v>2950</v>
      </c>
      <c r="K243" s="22">
        <f t="shared" si="7"/>
        <v>123900</v>
      </c>
      <c r="L243" s="22"/>
      <c r="M243" s="22"/>
      <c r="N243" s="22"/>
      <c r="O243" s="57" t="s">
        <v>24</v>
      </c>
      <c r="P243" s="37"/>
      <c r="Q243" s="25"/>
    </row>
    <row r="244" spans="2:17" ht="26.25" x14ac:dyDescent="0.25">
      <c r="B244" s="18" t="s">
        <v>18</v>
      </c>
      <c r="C244" s="19" t="s">
        <v>620</v>
      </c>
      <c r="D244" s="19" t="s">
        <v>621</v>
      </c>
      <c r="E244" s="19" t="s">
        <v>622</v>
      </c>
      <c r="F244" s="19" t="s">
        <v>623</v>
      </c>
      <c r="G244" s="57" t="s">
        <v>73</v>
      </c>
      <c r="H244" s="58" t="s">
        <v>262</v>
      </c>
      <c r="I244" s="22">
        <v>1</v>
      </c>
      <c r="J244" s="22">
        <f>1296750-108062.5</f>
        <v>1188687.5</v>
      </c>
      <c r="K244" s="22">
        <f t="shared" si="7"/>
        <v>1188687.5</v>
      </c>
      <c r="L244" s="22"/>
      <c r="M244" s="22"/>
      <c r="N244" s="22"/>
      <c r="O244" s="61" t="s">
        <v>27</v>
      </c>
      <c r="P244" s="24"/>
      <c r="Q244" s="25"/>
    </row>
    <row r="245" spans="2:17" ht="26.25" x14ac:dyDescent="0.25">
      <c r="B245" s="18" t="s">
        <v>18</v>
      </c>
      <c r="C245" s="19" t="s">
        <v>624</v>
      </c>
      <c r="D245" s="19" t="s">
        <v>625</v>
      </c>
      <c r="E245" s="19" t="s">
        <v>626</v>
      </c>
      <c r="F245" s="19" t="s">
        <v>627</v>
      </c>
      <c r="G245" s="57" t="s">
        <v>73</v>
      </c>
      <c r="H245" s="58" t="s">
        <v>628</v>
      </c>
      <c r="I245" s="22">
        <v>2000</v>
      </c>
      <c r="J245" s="22">
        <f>758.93-173.93</f>
        <v>585</v>
      </c>
      <c r="K245" s="22">
        <f>I245*J245</f>
        <v>1170000</v>
      </c>
      <c r="L245" s="22"/>
      <c r="M245" s="22"/>
      <c r="N245" s="22"/>
      <c r="O245" s="61" t="s">
        <v>27</v>
      </c>
      <c r="P245" s="24"/>
      <c r="Q245" s="25"/>
    </row>
    <row r="246" spans="2:17" ht="26.25" x14ac:dyDescent="0.25">
      <c r="B246" s="18" t="s">
        <v>18</v>
      </c>
      <c r="C246" s="19" t="s">
        <v>629</v>
      </c>
      <c r="D246" s="19" t="s">
        <v>630</v>
      </c>
      <c r="E246" s="19" t="s">
        <v>631</v>
      </c>
      <c r="F246" s="19" t="s">
        <v>632</v>
      </c>
      <c r="G246" s="57" t="s">
        <v>447</v>
      </c>
      <c r="H246" s="58" t="s">
        <v>262</v>
      </c>
      <c r="I246" s="22">
        <v>1</v>
      </c>
      <c r="J246" s="22">
        <v>466785.7</v>
      </c>
      <c r="K246" s="22">
        <f t="shared" ref="K246:K277" si="8">I246*J246</f>
        <v>466785.7</v>
      </c>
      <c r="L246" s="22"/>
      <c r="M246" s="22"/>
      <c r="N246" s="22"/>
      <c r="O246" s="57" t="s">
        <v>79</v>
      </c>
      <c r="P246" s="37"/>
      <c r="Q246" s="25"/>
    </row>
    <row r="247" spans="2:17" ht="26.25" x14ac:dyDescent="0.25">
      <c r="B247" s="18" t="s">
        <v>18</v>
      </c>
      <c r="C247" s="19" t="s">
        <v>633</v>
      </c>
      <c r="D247" s="19" t="s">
        <v>634</v>
      </c>
      <c r="E247" s="19" t="s">
        <v>635</v>
      </c>
      <c r="F247" s="19" t="s">
        <v>636</v>
      </c>
      <c r="G247" s="57" t="s">
        <v>73</v>
      </c>
      <c r="H247" s="58" t="s">
        <v>262</v>
      </c>
      <c r="I247" s="22">
        <v>1</v>
      </c>
      <c r="J247" s="22">
        <v>3700000</v>
      </c>
      <c r="K247" s="22">
        <f t="shared" si="8"/>
        <v>3700000</v>
      </c>
      <c r="L247" s="22"/>
      <c r="M247" s="22"/>
      <c r="N247" s="22"/>
      <c r="O247" s="57" t="s">
        <v>27</v>
      </c>
      <c r="P247" s="24"/>
      <c r="Q247" s="25"/>
    </row>
    <row r="248" spans="2:17" ht="26.25" x14ac:dyDescent="0.25">
      <c r="B248" s="18" t="s">
        <v>18</v>
      </c>
      <c r="C248" s="19" t="s">
        <v>633</v>
      </c>
      <c r="D248" s="19" t="s">
        <v>634</v>
      </c>
      <c r="E248" s="19" t="s">
        <v>635</v>
      </c>
      <c r="F248" s="19" t="s">
        <v>637</v>
      </c>
      <c r="G248" s="57" t="s">
        <v>73</v>
      </c>
      <c r="H248" s="58" t="s">
        <v>262</v>
      </c>
      <c r="I248" s="22">
        <v>1</v>
      </c>
      <c r="J248" s="22">
        <v>400000</v>
      </c>
      <c r="K248" s="22">
        <f>I248*J248</f>
        <v>400000</v>
      </c>
      <c r="L248" s="22"/>
      <c r="M248" s="22"/>
      <c r="N248" s="22"/>
      <c r="O248" s="57" t="s">
        <v>24</v>
      </c>
      <c r="P248" s="24"/>
      <c r="Q248" s="25"/>
    </row>
    <row r="249" spans="2:17" ht="26.25" x14ac:dyDescent="0.25">
      <c r="B249" s="18" t="s">
        <v>18</v>
      </c>
      <c r="C249" s="19" t="s">
        <v>638</v>
      </c>
      <c r="D249" s="19" t="s">
        <v>639</v>
      </c>
      <c r="E249" s="19" t="s">
        <v>640</v>
      </c>
      <c r="F249" s="19" t="s">
        <v>641</v>
      </c>
      <c r="G249" s="57" t="s">
        <v>73</v>
      </c>
      <c r="H249" s="58" t="s">
        <v>262</v>
      </c>
      <c r="I249" s="22">
        <v>1</v>
      </c>
      <c r="J249" s="22">
        <f>2409820-808927.142857143</f>
        <v>1600892.857142857</v>
      </c>
      <c r="K249" s="22">
        <f t="shared" si="8"/>
        <v>1600892.857142857</v>
      </c>
      <c r="L249" s="22"/>
      <c r="M249" s="22"/>
      <c r="N249" s="22"/>
      <c r="O249" s="57" t="s">
        <v>53</v>
      </c>
      <c r="P249" s="45"/>
      <c r="Q249" s="25"/>
    </row>
    <row r="250" spans="2:17" ht="30.75" customHeight="1" x14ac:dyDescent="0.25">
      <c r="B250" s="18" t="s">
        <v>18</v>
      </c>
      <c r="C250" s="19" t="s">
        <v>638</v>
      </c>
      <c r="D250" s="19" t="s">
        <v>639</v>
      </c>
      <c r="E250" s="19" t="s">
        <v>642</v>
      </c>
      <c r="F250" s="19" t="s">
        <v>643</v>
      </c>
      <c r="G250" s="57" t="s">
        <v>73</v>
      </c>
      <c r="H250" s="58" t="s">
        <v>262</v>
      </c>
      <c r="I250" s="22">
        <v>1</v>
      </c>
      <c r="J250" s="22">
        <v>191964.29</v>
      </c>
      <c r="K250" s="22">
        <f>I250*J250</f>
        <v>191964.29</v>
      </c>
      <c r="L250" s="22"/>
      <c r="M250" s="45"/>
      <c r="N250" s="22"/>
      <c r="O250" s="57" t="s">
        <v>79</v>
      </c>
      <c r="P250" s="45"/>
      <c r="Q250" s="25"/>
    </row>
    <row r="251" spans="2:17" ht="30.75" customHeight="1" x14ac:dyDescent="0.25">
      <c r="B251" s="18" t="s">
        <v>18</v>
      </c>
      <c r="C251" s="19" t="s">
        <v>638</v>
      </c>
      <c r="D251" s="19" t="s">
        <v>639</v>
      </c>
      <c r="E251" s="19" t="s">
        <v>644</v>
      </c>
      <c r="F251" s="19" t="s">
        <v>645</v>
      </c>
      <c r="G251" s="57" t="s">
        <v>73</v>
      </c>
      <c r="H251" s="58" t="s">
        <v>262</v>
      </c>
      <c r="I251" s="22">
        <v>1</v>
      </c>
      <c r="J251" s="22">
        <v>320000</v>
      </c>
      <c r="K251" s="22">
        <f>I251*J251</f>
        <v>320000</v>
      </c>
      <c r="L251" s="22"/>
      <c r="M251" s="45"/>
      <c r="N251" s="22"/>
      <c r="O251" s="57" t="s">
        <v>79</v>
      </c>
      <c r="P251" s="45"/>
      <c r="Q251" s="25"/>
    </row>
    <row r="252" spans="2:17" ht="64.5" customHeight="1" x14ac:dyDescent="0.25">
      <c r="B252" s="18" t="s">
        <v>18</v>
      </c>
      <c r="C252" s="19" t="s">
        <v>646</v>
      </c>
      <c r="D252" s="19" t="s">
        <v>647</v>
      </c>
      <c r="E252" s="19" t="s">
        <v>648</v>
      </c>
      <c r="F252" s="19" t="s">
        <v>649</v>
      </c>
      <c r="G252" s="57" t="s">
        <v>73</v>
      </c>
      <c r="H252" s="58" t="s">
        <v>262</v>
      </c>
      <c r="I252" s="22">
        <v>1</v>
      </c>
      <c r="J252" s="22">
        <v>4942800</v>
      </c>
      <c r="K252" s="22">
        <f>I252*J252</f>
        <v>4942800</v>
      </c>
      <c r="L252" s="22"/>
      <c r="M252" s="22"/>
      <c r="N252" s="22"/>
      <c r="O252" s="57" t="s">
        <v>24</v>
      </c>
      <c r="P252" s="45"/>
      <c r="Q252" s="25"/>
    </row>
    <row r="253" spans="2:17" ht="43.5" customHeight="1" x14ac:dyDescent="0.25">
      <c r="B253" s="18" t="s">
        <v>18</v>
      </c>
      <c r="C253" s="19" t="s">
        <v>638</v>
      </c>
      <c r="D253" s="19" t="s">
        <v>639</v>
      </c>
      <c r="E253" s="19" t="s">
        <v>650</v>
      </c>
      <c r="F253" s="19" t="s">
        <v>651</v>
      </c>
      <c r="G253" s="57" t="s">
        <v>73</v>
      </c>
      <c r="H253" s="58" t="s">
        <v>262</v>
      </c>
      <c r="I253" s="22">
        <v>1</v>
      </c>
      <c r="J253" s="22">
        <v>400000</v>
      </c>
      <c r="K253" s="22">
        <f t="shared" si="8"/>
        <v>400000</v>
      </c>
      <c r="L253" s="22"/>
      <c r="M253" s="22"/>
      <c r="N253" s="22"/>
      <c r="O253" s="57" t="s">
        <v>24</v>
      </c>
      <c r="P253" s="45"/>
      <c r="Q253" s="25"/>
    </row>
    <row r="254" spans="2:17" ht="51" customHeight="1" x14ac:dyDescent="0.25">
      <c r="B254" s="18" t="s">
        <v>18</v>
      </c>
      <c r="C254" s="19" t="s">
        <v>638</v>
      </c>
      <c r="D254" s="19" t="s">
        <v>639</v>
      </c>
      <c r="E254" s="19" t="s">
        <v>652</v>
      </c>
      <c r="F254" s="19" t="s">
        <v>653</v>
      </c>
      <c r="G254" s="57" t="s">
        <v>73</v>
      </c>
      <c r="H254" s="58" t="s">
        <v>262</v>
      </c>
      <c r="I254" s="22">
        <v>1</v>
      </c>
      <c r="J254" s="22">
        <v>2700000</v>
      </c>
      <c r="K254" s="22">
        <f t="shared" si="8"/>
        <v>2700000</v>
      </c>
      <c r="L254" s="22"/>
      <c r="M254" s="22"/>
      <c r="N254" s="22"/>
      <c r="O254" s="57" t="s">
        <v>24</v>
      </c>
      <c r="P254" s="45"/>
      <c r="Q254" s="25"/>
    </row>
    <row r="255" spans="2:17" ht="41.25" customHeight="1" x14ac:dyDescent="0.25">
      <c r="B255" s="18" t="s">
        <v>18</v>
      </c>
      <c r="C255" s="19" t="s">
        <v>654</v>
      </c>
      <c r="D255" s="19" t="s">
        <v>655</v>
      </c>
      <c r="E255" s="19" t="s">
        <v>656</v>
      </c>
      <c r="F255" s="19" t="s">
        <v>657</v>
      </c>
      <c r="G255" s="57" t="s">
        <v>73</v>
      </c>
      <c r="H255" s="58" t="s">
        <v>302</v>
      </c>
      <c r="I255" s="22">
        <v>1</v>
      </c>
      <c r="J255" s="22">
        <f>1245666-46866</f>
        <v>1198800</v>
      </c>
      <c r="K255" s="22">
        <f>I255*J255</f>
        <v>1198800</v>
      </c>
      <c r="L255" s="22"/>
      <c r="M255" s="22"/>
      <c r="N255" s="22"/>
      <c r="O255" s="57" t="s">
        <v>24</v>
      </c>
      <c r="P255" s="45"/>
      <c r="Q255" s="25"/>
    </row>
    <row r="256" spans="2:17" ht="26.25" hidden="1" x14ac:dyDescent="0.25">
      <c r="B256" s="18" t="s">
        <v>18</v>
      </c>
      <c r="C256" s="19" t="s">
        <v>658</v>
      </c>
      <c r="D256" s="19" t="s">
        <v>659</v>
      </c>
      <c r="E256" s="19" t="s">
        <v>660</v>
      </c>
      <c r="F256" s="19" t="s">
        <v>661</v>
      </c>
      <c r="G256" s="20" t="s">
        <v>447</v>
      </c>
      <c r="H256" s="21" t="s">
        <v>262</v>
      </c>
      <c r="I256" s="32"/>
      <c r="J256" s="32"/>
      <c r="K256" s="32">
        <v>0</v>
      </c>
      <c r="L256" s="22"/>
      <c r="M256" s="22"/>
      <c r="N256" s="22"/>
      <c r="O256" s="20" t="s">
        <v>24</v>
      </c>
      <c r="P256" s="24" t="s">
        <v>280</v>
      </c>
      <c r="Q256" s="25"/>
    </row>
    <row r="257" spans="2:17" ht="39" x14ac:dyDescent="0.25">
      <c r="B257" s="18" t="s">
        <v>18</v>
      </c>
      <c r="C257" s="19" t="s">
        <v>662</v>
      </c>
      <c r="D257" s="31" t="s">
        <v>663</v>
      </c>
      <c r="E257" s="19" t="s">
        <v>664</v>
      </c>
      <c r="F257" s="19" t="s">
        <v>665</v>
      </c>
      <c r="G257" s="57" t="s">
        <v>73</v>
      </c>
      <c r="H257" s="58" t="s">
        <v>262</v>
      </c>
      <c r="I257" s="22">
        <v>1</v>
      </c>
      <c r="J257" s="22">
        <v>42000</v>
      </c>
      <c r="K257" s="22">
        <f t="shared" si="8"/>
        <v>42000</v>
      </c>
      <c r="L257" s="22"/>
      <c r="M257" s="22"/>
      <c r="N257" s="22"/>
      <c r="O257" s="57" t="s">
        <v>79</v>
      </c>
      <c r="P257" s="24"/>
      <c r="Q257" s="25"/>
    </row>
    <row r="258" spans="2:17" ht="39" x14ac:dyDescent="0.25">
      <c r="B258" s="18" t="s">
        <v>18</v>
      </c>
      <c r="C258" s="19" t="s">
        <v>666</v>
      </c>
      <c r="D258" s="19" t="s">
        <v>667</v>
      </c>
      <c r="E258" s="19" t="s">
        <v>668</v>
      </c>
      <c r="F258" s="19" t="s">
        <v>669</v>
      </c>
      <c r="G258" s="57" t="s">
        <v>73</v>
      </c>
      <c r="H258" s="58" t="s">
        <v>262</v>
      </c>
      <c r="I258" s="22">
        <v>1</v>
      </c>
      <c r="J258" s="22">
        <v>276000</v>
      </c>
      <c r="K258" s="22">
        <f t="shared" si="8"/>
        <v>276000</v>
      </c>
      <c r="L258" s="22"/>
      <c r="M258" s="22"/>
      <c r="N258" s="22"/>
      <c r="O258" s="57" t="s">
        <v>79</v>
      </c>
      <c r="P258" s="24"/>
      <c r="Q258" s="25"/>
    </row>
    <row r="259" spans="2:17" ht="39" x14ac:dyDescent="0.25">
      <c r="B259" s="18" t="s">
        <v>18</v>
      </c>
      <c r="C259" s="19" t="s">
        <v>666</v>
      </c>
      <c r="D259" s="19" t="s">
        <v>667</v>
      </c>
      <c r="E259" s="19" t="s">
        <v>670</v>
      </c>
      <c r="F259" s="19" t="s">
        <v>671</v>
      </c>
      <c r="G259" s="57" t="s">
        <v>73</v>
      </c>
      <c r="H259" s="58" t="s">
        <v>262</v>
      </c>
      <c r="I259" s="22">
        <v>1</v>
      </c>
      <c r="J259" s="22">
        <v>3783169.64</v>
      </c>
      <c r="K259" s="22">
        <f>I259*J259</f>
        <v>3783169.64</v>
      </c>
      <c r="L259" s="22"/>
      <c r="M259" s="22"/>
      <c r="N259" s="22"/>
      <c r="O259" s="57" t="s">
        <v>24</v>
      </c>
      <c r="P259" s="24"/>
      <c r="Q259" s="25"/>
    </row>
    <row r="260" spans="2:17" ht="26.25" x14ac:dyDescent="0.25">
      <c r="B260" s="18" t="s">
        <v>18</v>
      </c>
      <c r="C260" s="19" t="s">
        <v>672</v>
      </c>
      <c r="D260" s="19" t="s">
        <v>673</v>
      </c>
      <c r="E260" s="19" t="s">
        <v>674</v>
      </c>
      <c r="F260" s="19" t="s">
        <v>675</v>
      </c>
      <c r="G260" s="57" t="s">
        <v>73</v>
      </c>
      <c r="H260" s="58" t="s">
        <v>262</v>
      </c>
      <c r="I260" s="22">
        <v>1</v>
      </c>
      <c r="J260" s="22">
        <v>152616.9</v>
      </c>
      <c r="K260" s="22">
        <f t="shared" si="8"/>
        <v>152616.9</v>
      </c>
      <c r="L260" s="22"/>
      <c r="M260" s="22"/>
      <c r="N260" s="22"/>
      <c r="O260" s="57" t="s">
        <v>79</v>
      </c>
      <c r="P260" s="24"/>
      <c r="Q260" s="25"/>
    </row>
    <row r="261" spans="2:17" ht="26.25" x14ac:dyDescent="0.25">
      <c r="B261" s="18" t="s">
        <v>18</v>
      </c>
      <c r="C261" s="19" t="s">
        <v>676</v>
      </c>
      <c r="D261" s="19" t="s">
        <v>677</v>
      </c>
      <c r="E261" s="19" t="s">
        <v>678</v>
      </c>
      <c r="F261" s="19" t="s">
        <v>679</v>
      </c>
      <c r="G261" s="57" t="s">
        <v>73</v>
      </c>
      <c r="H261" s="58" t="s">
        <v>262</v>
      </c>
      <c r="I261" s="22">
        <v>1</v>
      </c>
      <c r="J261" s="22">
        <v>464285.7</v>
      </c>
      <c r="K261" s="22">
        <f t="shared" si="8"/>
        <v>464285.7</v>
      </c>
      <c r="L261" s="22"/>
      <c r="M261" s="22"/>
      <c r="N261" s="22"/>
      <c r="O261" s="61" t="s">
        <v>79</v>
      </c>
      <c r="P261" s="24"/>
      <c r="Q261" s="25"/>
    </row>
    <row r="262" spans="2:17" ht="26.25" x14ac:dyDescent="0.25">
      <c r="B262" s="18" t="s">
        <v>18</v>
      </c>
      <c r="C262" s="19" t="s">
        <v>676</v>
      </c>
      <c r="D262" s="19" t="s">
        <v>677</v>
      </c>
      <c r="E262" s="19" t="s">
        <v>680</v>
      </c>
      <c r="F262" s="46" t="s">
        <v>681</v>
      </c>
      <c r="G262" s="57" t="s">
        <v>73</v>
      </c>
      <c r="H262" s="58" t="s">
        <v>262</v>
      </c>
      <c r="I262" s="22">
        <v>1</v>
      </c>
      <c r="J262" s="22">
        <v>105000</v>
      </c>
      <c r="K262" s="22">
        <f t="shared" si="8"/>
        <v>105000</v>
      </c>
      <c r="L262" s="22"/>
      <c r="M262" s="22"/>
      <c r="N262" s="22"/>
      <c r="O262" s="61" t="s">
        <v>53</v>
      </c>
      <c r="P262" s="24"/>
      <c r="Q262" s="25"/>
    </row>
    <row r="263" spans="2:17" ht="26.25" x14ac:dyDescent="0.25">
      <c r="B263" s="18" t="s">
        <v>18</v>
      </c>
      <c r="C263" s="19" t="s">
        <v>682</v>
      </c>
      <c r="D263" s="19" t="s">
        <v>683</v>
      </c>
      <c r="E263" s="19" t="s">
        <v>684</v>
      </c>
      <c r="F263" s="46" t="s">
        <v>685</v>
      </c>
      <c r="G263" s="57" t="s">
        <v>73</v>
      </c>
      <c r="H263" s="58" t="s">
        <v>262</v>
      </c>
      <c r="I263" s="22">
        <v>1</v>
      </c>
      <c r="J263" s="22">
        <v>1500000</v>
      </c>
      <c r="K263" s="22">
        <f t="shared" si="8"/>
        <v>1500000</v>
      </c>
      <c r="L263" s="22"/>
      <c r="M263" s="22"/>
      <c r="N263" s="22"/>
      <c r="O263" s="57" t="s">
        <v>27</v>
      </c>
      <c r="P263" s="24"/>
      <c r="Q263" s="25"/>
    </row>
    <row r="264" spans="2:17" ht="26.25" x14ac:dyDescent="0.25">
      <c r="B264" s="18" t="s">
        <v>18</v>
      </c>
      <c r="C264" s="19" t="s">
        <v>682</v>
      </c>
      <c r="D264" s="19" t="s">
        <v>683</v>
      </c>
      <c r="E264" s="19" t="s">
        <v>686</v>
      </c>
      <c r="F264" s="46" t="s">
        <v>687</v>
      </c>
      <c r="G264" s="57" t="s">
        <v>73</v>
      </c>
      <c r="H264" s="58" t="s">
        <v>262</v>
      </c>
      <c r="I264" s="22">
        <v>1</v>
      </c>
      <c r="J264" s="22">
        <v>1000000</v>
      </c>
      <c r="K264" s="22">
        <f>I264*J264</f>
        <v>1000000</v>
      </c>
      <c r="L264" s="22"/>
      <c r="M264" s="22"/>
      <c r="N264" s="22"/>
      <c r="O264" s="57" t="s">
        <v>53</v>
      </c>
      <c r="P264" s="24"/>
      <c r="Q264" s="25"/>
    </row>
    <row r="265" spans="2:17" ht="26.25" x14ac:dyDescent="0.25">
      <c r="B265" s="18" t="s">
        <v>18</v>
      </c>
      <c r="C265" s="19" t="s">
        <v>682</v>
      </c>
      <c r="D265" s="19" t="s">
        <v>683</v>
      </c>
      <c r="E265" s="19" t="s">
        <v>688</v>
      </c>
      <c r="F265" s="46" t="s">
        <v>689</v>
      </c>
      <c r="G265" s="57" t="s">
        <v>73</v>
      </c>
      <c r="H265" s="58" t="s">
        <v>262</v>
      </c>
      <c r="I265" s="22">
        <v>1</v>
      </c>
      <c r="J265" s="22">
        <v>5000000</v>
      </c>
      <c r="K265" s="22">
        <f>I265*J265</f>
        <v>5000000</v>
      </c>
      <c r="L265" s="22"/>
      <c r="M265" s="22"/>
      <c r="N265" s="22"/>
      <c r="O265" s="57" t="s">
        <v>53</v>
      </c>
      <c r="P265" s="24"/>
      <c r="Q265" s="25"/>
    </row>
    <row r="266" spans="2:17" ht="26.25" x14ac:dyDescent="0.25">
      <c r="B266" s="18" t="s">
        <v>18</v>
      </c>
      <c r="C266" s="19" t="s">
        <v>690</v>
      </c>
      <c r="D266" s="19" t="s">
        <v>691</v>
      </c>
      <c r="E266" s="19" t="s">
        <v>692</v>
      </c>
      <c r="F266" s="46" t="s">
        <v>693</v>
      </c>
      <c r="G266" s="57" t="s">
        <v>73</v>
      </c>
      <c r="H266" s="58" t="s">
        <v>302</v>
      </c>
      <c r="I266" s="22">
        <v>1</v>
      </c>
      <c r="J266" s="22">
        <v>2600000</v>
      </c>
      <c r="K266" s="22">
        <f>I266*J266</f>
        <v>2600000</v>
      </c>
      <c r="L266" s="22"/>
      <c r="M266" s="22"/>
      <c r="N266" s="22"/>
      <c r="O266" s="57" t="s">
        <v>79</v>
      </c>
      <c r="P266" s="24"/>
      <c r="Q266" s="25"/>
    </row>
    <row r="267" spans="2:17" ht="27.75" customHeight="1" x14ac:dyDescent="0.25">
      <c r="B267" s="18" t="s">
        <v>18</v>
      </c>
      <c r="C267" s="19" t="s">
        <v>694</v>
      </c>
      <c r="D267" s="19" t="s">
        <v>695</v>
      </c>
      <c r="E267" s="19" t="s">
        <v>696</v>
      </c>
      <c r="F267" s="46" t="s">
        <v>697</v>
      </c>
      <c r="G267" s="57" t="s">
        <v>73</v>
      </c>
      <c r="H267" s="58" t="s">
        <v>262</v>
      </c>
      <c r="I267" s="22">
        <v>1</v>
      </c>
      <c r="J267" s="22">
        <v>3603000</v>
      </c>
      <c r="K267" s="22">
        <f>I267*J267</f>
        <v>3603000</v>
      </c>
      <c r="L267" s="22"/>
      <c r="M267" s="22"/>
      <c r="N267" s="22"/>
      <c r="O267" s="57" t="s">
        <v>79</v>
      </c>
      <c r="P267" s="24"/>
      <c r="Q267" s="25"/>
    </row>
    <row r="268" spans="2:17" ht="27.75" customHeight="1" x14ac:dyDescent="0.25">
      <c r="B268" s="18" t="s">
        <v>18</v>
      </c>
      <c r="C268" s="19" t="s">
        <v>698</v>
      </c>
      <c r="D268" s="19" t="s">
        <v>699</v>
      </c>
      <c r="E268" s="29" t="s">
        <v>700</v>
      </c>
      <c r="F268" s="30" t="s">
        <v>701</v>
      </c>
      <c r="G268" s="57" t="s">
        <v>73</v>
      </c>
      <c r="H268" s="58" t="s">
        <v>262</v>
      </c>
      <c r="I268" s="24">
        <v>1</v>
      </c>
      <c r="J268" s="22">
        <v>4950000</v>
      </c>
      <c r="K268" s="22">
        <f t="shared" ref="K268:K269" si="9">I268*J268</f>
        <v>4950000</v>
      </c>
      <c r="L268" s="22"/>
      <c r="M268" s="22"/>
      <c r="N268" s="22"/>
      <c r="O268" s="57" t="s">
        <v>79</v>
      </c>
      <c r="P268" s="24"/>
      <c r="Q268" s="25"/>
    </row>
    <row r="269" spans="2:17" ht="39" customHeight="1" x14ac:dyDescent="0.25">
      <c r="B269" s="18" t="s">
        <v>18</v>
      </c>
      <c r="C269" s="19" t="s">
        <v>646</v>
      </c>
      <c r="D269" s="19" t="s">
        <v>647</v>
      </c>
      <c r="E269" s="19" t="s">
        <v>702</v>
      </c>
      <c r="F269" s="19" t="s">
        <v>703</v>
      </c>
      <c r="G269" s="57" t="s">
        <v>73</v>
      </c>
      <c r="H269" s="58" t="s">
        <v>262</v>
      </c>
      <c r="I269" s="22">
        <v>1</v>
      </c>
      <c r="J269" s="22">
        <v>4923000</v>
      </c>
      <c r="K269" s="22">
        <f t="shared" si="9"/>
        <v>4923000</v>
      </c>
      <c r="L269" s="22"/>
      <c r="M269" s="22"/>
      <c r="N269" s="22"/>
      <c r="O269" s="57" t="s">
        <v>79</v>
      </c>
      <c r="P269" s="24"/>
      <c r="Q269" s="25"/>
    </row>
    <row r="270" spans="2:17" ht="37.5" customHeight="1" x14ac:dyDescent="0.25">
      <c r="B270" s="18" t="s">
        <v>18</v>
      </c>
      <c r="C270" s="19" t="s">
        <v>682</v>
      </c>
      <c r="D270" s="19" t="s">
        <v>683</v>
      </c>
      <c r="E270" s="19" t="s">
        <v>704</v>
      </c>
      <c r="F270" s="46" t="s">
        <v>705</v>
      </c>
      <c r="G270" s="57" t="s">
        <v>73</v>
      </c>
      <c r="H270" s="58" t="s">
        <v>262</v>
      </c>
      <c r="I270" s="22">
        <v>1</v>
      </c>
      <c r="J270" s="22">
        <v>4992000</v>
      </c>
      <c r="K270" s="22">
        <f>I270*J270</f>
        <v>4992000</v>
      </c>
      <c r="L270" s="22"/>
      <c r="M270" s="22"/>
      <c r="N270" s="22"/>
      <c r="O270" s="57" t="s">
        <v>79</v>
      </c>
      <c r="P270" s="24"/>
      <c r="Q270" s="25"/>
    </row>
    <row r="271" spans="2:17" ht="27.75" customHeight="1" x14ac:dyDescent="0.25">
      <c r="B271" s="18" t="s">
        <v>18</v>
      </c>
      <c r="C271" s="19" t="s">
        <v>706</v>
      </c>
      <c r="D271" s="19" t="s">
        <v>706</v>
      </c>
      <c r="E271" s="19" t="s">
        <v>707</v>
      </c>
      <c r="F271" s="46" t="s">
        <v>708</v>
      </c>
      <c r="G271" s="57" t="s">
        <v>73</v>
      </c>
      <c r="H271" s="58" t="s">
        <v>23</v>
      </c>
      <c r="I271" s="22">
        <v>12</v>
      </c>
      <c r="J271" s="22">
        <v>10950</v>
      </c>
      <c r="K271" s="22">
        <f t="shared" ref="K271:K275" si="10">I271*J271</f>
        <v>131400</v>
      </c>
      <c r="L271" s="22"/>
      <c r="M271" s="22"/>
      <c r="N271" s="22"/>
      <c r="O271" s="57" t="s">
        <v>79</v>
      </c>
      <c r="P271" s="24"/>
      <c r="Q271" s="25"/>
    </row>
    <row r="272" spans="2:17" ht="27.75" customHeight="1" x14ac:dyDescent="0.25">
      <c r="B272" s="18" t="s">
        <v>18</v>
      </c>
      <c r="C272" s="19" t="s">
        <v>709</v>
      </c>
      <c r="D272" s="19" t="s">
        <v>710</v>
      </c>
      <c r="E272" s="19" t="s">
        <v>711</v>
      </c>
      <c r="F272" s="46" t="s">
        <v>712</v>
      </c>
      <c r="G272" s="57" t="s">
        <v>73</v>
      </c>
      <c r="H272" s="58" t="s">
        <v>23</v>
      </c>
      <c r="I272" s="22">
        <v>110</v>
      </c>
      <c r="J272" s="22">
        <v>3200</v>
      </c>
      <c r="K272" s="22">
        <f t="shared" si="10"/>
        <v>352000</v>
      </c>
      <c r="L272" s="22"/>
      <c r="M272" s="22"/>
      <c r="N272" s="22"/>
      <c r="O272" s="57" t="s">
        <v>79</v>
      </c>
      <c r="P272" s="24"/>
      <c r="Q272" s="25"/>
    </row>
    <row r="273" spans="2:17" ht="27.75" customHeight="1" x14ac:dyDescent="0.25">
      <c r="B273" s="18" t="s">
        <v>18</v>
      </c>
      <c r="C273" s="19" t="s">
        <v>178</v>
      </c>
      <c r="D273" s="19" t="s">
        <v>179</v>
      </c>
      <c r="E273" s="19" t="s">
        <v>713</v>
      </c>
      <c r="F273" s="46" t="s">
        <v>714</v>
      </c>
      <c r="G273" s="57" t="s">
        <v>73</v>
      </c>
      <c r="H273" s="58" t="s">
        <v>23</v>
      </c>
      <c r="I273" s="22">
        <v>110</v>
      </c>
      <c r="J273" s="22">
        <v>600</v>
      </c>
      <c r="K273" s="22">
        <f t="shared" si="10"/>
        <v>66000</v>
      </c>
      <c r="L273" s="22"/>
      <c r="M273" s="22"/>
      <c r="N273" s="22"/>
      <c r="O273" s="57" t="s">
        <v>79</v>
      </c>
      <c r="P273" s="24"/>
      <c r="Q273" s="25"/>
    </row>
    <row r="274" spans="2:17" ht="27.75" customHeight="1" x14ac:dyDescent="0.25">
      <c r="B274" s="18" t="s">
        <v>18</v>
      </c>
      <c r="C274" s="19" t="s">
        <v>715</v>
      </c>
      <c r="D274" s="19" t="s">
        <v>715</v>
      </c>
      <c r="E274" s="19" t="s">
        <v>716</v>
      </c>
      <c r="F274" s="46" t="s">
        <v>717</v>
      </c>
      <c r="G274" s="57" t="s">
        <v>73</v>
      </c>
      <c r="H274" s="58" t="s">
        <v>23</v>
      </c>
      <c r="I274" s="22">
        <v>1</v>
      </c>
      <c r="J274" s="22">
        <v>66964.289999999994</v>
      </c>
      <c r="K274" s="22">
        <f t="shared" si="10"/>
        <v>66964.289999999994</v>
      </c>
      <c r="L274" s="22"/>
      <c r="M274" s="22"/>
      <c r="N274" s="22"/>
      <c r="O274" s="57" t="s">
        <v>79</v>
      </c>
      <c r="P274" s="24"/>
      <c r="Q274" s="25"/>
    </row>
    <row r="275" spans="2:17" ht="27.75" customHeight="1" x14ac:dyDescent="0.25">
      <c r="B275" s="18" t="s">
        <v>18</v>
      </c>
      <c r="C275" s="19" t="s">
        <v>191</v>
      </c>
      <c r="D275" s="19" t="s">
        <v>191</v>
      </c>
      <c r="E275" s="19" t="s">
        <v>718</v>
      </c>
      <c r="F275" s="46" t="s">
        <v>719</v>
      </c>
      <c r="G275" s="57" t="s">
        <v>73</v>
      </c>
      <c r="H275" s="58" t="s">
        <v>23</v>
      </c>
      <c r="I275" s="22">
        <v>110</v>
      </c>
      <c r="J275" s="22">
        <v>500</v>
      </c>
      <c r="K275" s="22">
        <f t="shared" si="10"/>
        <v>55000</v>
      </c>
      <c r="L275" s="22"/>
      <c r="M275" s="22"/>
      <c r="N275" s="22"/>
      <c r="O275" s="57" t="s">
        <v>79</v>
      </c>
      <c r="P275" s="24"/>
      <c r="Q275" s="25"/>
    </row>
    <row r="276" spans="2:17" ht="26.25" x14ac:dyDescent="0.25">
      <c r="B276" s="18" t="s">
        <v>18</v>
      </c>
      <c r="C276" s="19" t="s">
        <v>720</v>
      </c>
      <c r="D276" s="19" t="s">
        <v>721</v>
      </c>
      <c r="E276" s="19" t="s">
        <v>722</v>
      </c>
      <c r="F276" s="46" t="s">
        <v>723</v>
      </c>
      <c r="G276" s="57" t="s">
        <v>73</v>
      </c>
      <c r="H276" s="58" t="s">
        <v>262</v>
      </c>
      <c r="I276" s="22">
        <v>1</v>
      </c>
      <c r="J276" s="22">
        <v>1071130</v>
      </c>
      <c r="K276" s="22">
        <f>I276*J276</f>
        <v>1071130</v>
      </c>
      <c r="L276" s="22"/>
      <c r="M276" s="22"/>
      <c r="N276" s="22"/>
      <c r="O276" s="57" t="s">
        <v>79</v>
      </c>
      <c r="P276" s="24"/>
      <c r="Q276" s="25"/>
    </row>
    <row r="277" spans="2:17" ht="26.25" x14ac:dyDescent="0.25">
      <c r="B277" s="18" t="s">
        <v>18</v>
      </c>
      <c r="C277" s="19" t="s">
        <v>724</v>
      </c>
      <c r="D277" s="19" t="s">
        <v>725</v>
      </c>
      <c r="E277" s="19" t="s">
        <v>726</v>
      </c>
      <c r="F277" s="19" t="s">
        <v>727</v>
      </c>
      <c r="G277" s="57" t="s">
        <v>22</v>
      </c>
      <c r="H277" s="58" t="s">
        <v>23</v>
      </c>
      <c r="I277" s="22">
        <f>6</f>
        <v>6</v>
      </c>
      <c r="J277" s="22">
        <v>35450</v>
      </c>
      <c r="K277" s="22">
        <f t="shared" si="8"/>
        <v>212700</v>
      </c>
      <c r="L277" s="22"/>
      <c r="M277" s="22"/>
      <c r="N277" s="22"/>
      <c r="O277" s="57" t="s">
        <v>324</v>
      </c>
      <c r="P277" s="24"/>
      <c r="Q277" s="25"/>
    </row>
    <row r="278" spans="2:17" ht="26.25" x14ac:dyDescent="0.25">
      <c r="B278" s="18" t="s">
        <v>18</v>
      </c>
      <c r="C278" s="19" t="s">
        <v>728</v>
      </c>
      <c r="D278" s="19" t="s">
        <v>729</v>
      </c>
      <c r="E278" s="19" t="s">
        <v>730</v>
      </c>
      <c r="F278" s="19" t="s">
        <v>731</v>
      </c>
      <c r="G278" s="57" t="s">
        <v>73</v>
      </c>
      <c r="H278" s="58" t="s">
        <v>23</v>
      </c>
      <c r="I278" s="22">
        <v>1</v>
      </c>
      <c r="J278" s="22">
        <v>5357.14</v>
      </c>
      <c r="K278" s="22">
        <f>I278*J278</f>
        <v>5357.14</v>
      </c>
      <c r="L278" s="22"/>
      <c r="M278" s="22"/>
      <c r="N278" s="22"/>
      <c r="O278" s="57" t="s">
        <v>324</v>
      </c>
      <c r="P278" s="24"/>
      <c r="Q278" s="25"/>
    </row>
    <row r="279" spans="2:17" ht="26.25" x14ac:dyDescent="0.25">
      <c r="B279" s="18" t="s">
        <v>18</v>
      </c>
      <c r="C279" s="19" t="s">
        <v>732</v>
      </c>
      <c r="D279" s="19" t="s">
        <v>733</v>
      </c>
      <c r="E279" s="19" t="s">
        <v>734</v>
      </c>
      <c r="F279" s="19" t="s">
        <v>735</v>
      </c>
      <c r="G279" s="57" t="s">
        <v>22</v>
      </c>
      <c r="H279" s="58" t="s">
        <v>23</v>
      </c>
      <c r="I279" s="22">
        <v>2</v>
      </c>
      <c r="J279" s="22">
        <v>37500</v>
      </c>
      <c r="K279" s="22">
        <f>I279*J279</f>
        <v>75000</v>
      </c>
      <c r="L279" s="22"/>
      <c r="M279" s="22"/>
      <c r="N279" s="22"/>
      <c r="O279" s="57" t="s">
        <v>324</v>
      </c>
      <c r="P279" s="24"/>
      <c r="Q279" s="25"/>
    </row>
    <row r="280" spans="2:17" ht="29.25" customHeight="1" x14ac:dyDescent="0.25">
      <c r="B280" s="18" t="s">
        <v>18</v>
      </c>
      <c r="C280" s="19" t="s">
        <v>736</v>
      </c>
      <c r="D280" s="19" t="s">
        <v>737</v>
      </c>
      <c r="E280" s="19" t="s">
        <v>738</v>
      </c>
      <c r="F280" s="19" t="s">
        <v>739</v>
      </c>
      <c r="G280" s="57" t="s">
        <v>73</v>
      </c>
      <c r="H280" s="58" t="s">
        <v>23</v>
      </c>
      <c r="I280" s="22">
        <v>15</v>
      </c>
      <c r="J280" s="22">
        <v>10267.85</v>
      </c>
      <c r="K280" s="22">
        <f>I280*J280</f>
        <v>154017.75</v>
      </c>
      <c r="L280" s="22"/>
      <c r="M280" s="22"/>
      <c r="N280" s="22"/>
      <c r="O280" s="57" t="s">
        <v>324</v>
      </c>
      <c r="P280" s="24"/>
      <c r="Q280" s="25"/>
    </row>
    <row r="281" spans="2:17" ht="29.25" customHeight="1" x14ac:dyDescent="0.25">
      <c r="B281" s="18" t="s">
        <v>18</v>
      </c>
      <c r="C281" s="19" t="s">
        <v>740</v>
      </c>
      <c r="D281" s="19" t="s">
        <v>741</v>
      </c>
      <c r="E281" s="19" t="s">
        <v>742</v>
      </c>
      <c r="F281" s="19" t="s">
        <v>743</v>
      </c>
      <c r="G281" s="57" t="s">
        <v>73</v>
      </c>
      <c r="H281" s="58" t="s">
        <v>23</v>
      </c>
      <c r="I281" s="22">
        <v>5</v>
      </c>
      <c r="J281" s="22">
        <v>2196.4299999999998</v>
      </c>
      <c r="K281" s="22">
        <f>I281*J281</f>
        <v>10982.15</v>
      </c>
      <c r="L281" s="22"/>
      <c r="M281" s="22"/>
      <c r="N281" s="22"/>
      <c r="O281" s="57" t="s">
        <v>79</v>
      </c>
      <c r="P281" s="24"/>
      <c r="Q281" s="25"/>
    </row>
    <row r="282" spans="2:17" ht="26.25" x14ac:dyDescent="0.25">
      <c r="B282" s="18" t="s">
        <v>18</v>
      </c>
      <c r="C282" s="19" t="s">
        <v>744</v>
      </c>
      <c r="D282" s="19" t="s">
        <v>745</v>
      </c>
      <c r="E282" s="19" t="s">
        <v>746</v>
      </c>
      <c r="F282" s="19" t="s">
        <v>747</v>
      </c>
      <c r="G282" s="57" t="s">
        <v>73</v>
      </c>
      <c r="H282" s="58" t="s">
        <v>23</v>
      </c>
      <c r="I282" s="22">
        <v>4</v>
      </c>
      <c r="J282" s="22">
        <v>2000000</v>
      </c>
      <c r="K282" s="22">
        <f>I282*J282</f>
        <v>8000000</v>
      </c>
      <c r="L282" s="22"/>
      <c r="M282" s="22"/>
      <c r="N282" s="22"/>
      <c r="O282" s="57" t="s">
        <v>324</v>
      </c>
      <c r="P282" s="24"/>
      <c r="Q282" s="25"/>
    </row>
    <row r="283" spans="2:17" ht="26.25" hidden="1" x14ac:dyDescent="0.25">
      <c r="B283" s="18" t="s">
        <v>18</v>
      </c>
      <c r="C283" s="19" t="s">
        <v>748</v>
      </c>
      <c r="D283" s="19" t="s">
        <v>748</v>
      </c>
      <c r="E283" s="19" t="s">
        <v>749</v>
      </c>
      <c r="F283" s="19" t="s">
        <v>750</v>
      </c>
      <c r="G283" s="20" t="s">
        <v>73</v>
      </c>
      <c r="H283" s="21" t="s">
        <v>23</v>
      </c>
      <c r="I283" s="32"/>
      <c r="J283" s="32"/>
      <c r="K283" s="32">
        <v>0</v>
      </c>
      <c r="L283" s="22"/>
      <c r="M283" s="22"/>
      <c r="N283" s="22"/>
      <c r="O283" s="20" t="s">
        <v>53</v>
      </c>
      <c r="P283" s="24"/>
      <c r="Q283" s="47"/>
    </row>
    <row r="284" spans="2:17" ht="26.25" x14ac:dyDescent="0.25">
      <c r="B284" s="18" t="s">
        <v>18</v>
      </c>
      <c r="C284" s="19" t="s">
        <v>751</v>
      </c>
      <c r="D284" s="19" t="s">
        <v>752</v>
      </c>
      <c r="E284" s="19" t="s">
        <v>753</v>
      </c>
      <c r="F284" s="19" t="s">
        <v>754</v>
      </c>
      <c r="G284" s="57" t="s">
        <v>22</v>
      </c>
      <c r="H284" s="58" t="s">
        <v>23</v>
      </c>
      <c r="I284" s="22">
        <v>1</v>
      </c>
      <c r="J284" s="22">
        <v>423600</v>
      </c>
      <c r="K284" s="22">
        <f>I284*J284</f>
        <v>423600</v>
      </c>
      <c r="L284" s="22"/>
      <c r="M284" s="22"/>
      <c r="N284" s="22"/>
      <c r="O284" s="57" t="s">
        <v>24</v>
      </c>
      <c r="P284" s="24"/>
      <c r="Q284" s="25"/>
    </row>
    <row r="285" spans="2:17" ht="26.25" x14ac:dyDescent="0.25">
      <c r="B285" s="18" t="s">
        <v>18</v>
      </c>
      <c r="C285" s="19" t="s">
        <v>755</v>
      </c>
      <c r="D285" s="19" t="s">
        <v>755</v>
      </c>
      <c r="E285" s="19" t="s">
        <v>756</v>
      </c>
      <c r="F285" s="19" t="s">
        <v>757</v>
      </c>
      <c r="G285" s="57" t="s">
        <v>22</v>
      </c>
      <c r="H285" s="58" t="s">
        <v>23</v>
      </c>
      <c r="I285" s="22">
        <v>6</v>
      </c>
      <c r="J285" s="22">
        <v>167895.54</v>
      </c>
      <c r="K285" s="22">
        <f t="shared" ref="K285:K314" si="11">I285*J285</f>
        <v>1007373.24</v>
      </c>
      <c r="L285" s="22"/>
      <c r="M285" s="22"/>
      <c r="N285" s="22"/>
      <c r="O285" s="57" t="s">
        <v>24</v>
      </c>
      <c r="P285" s="24"/>
      <c r="Q285" s="25"/>
    </row>
    <row r="286" spans="2:17" ht="26.25" x14ac:dyDescent="0.25">
      <c r="B286" s="18" t="s">
        <v>18</v>
      </c>
      <c r="C286" s="19" t="s">
        <v>755</v>
      </c>
      <c r="D286" s="19" t="s">
        <v>755</v>
      </c>
      <c r="E286" s="19" t="s">
        <v>758</v>
      </c>
      <c r="F286" s="19" t="s">
        <v>759</v>
      </c>
      <c r="G286" s="57" t="s">
        <v>22</v>
      </c>
      <c r="H286" s="58" t="s">
        <v>23</v>
      </c>
      <c r="I286" s="22">
        <v>17</v>
      </c>
      <c r="J286" s="22">
        <f>75892.86-5242.86</f>
        <v>70650</v>
      </c>
      <c r="K286" s="22">
        <f t="shared" si="11"/>
        <v>1201050</v>
      </c>
      <c r="L286" s="22"/>
      <c r="M286" s="22"/>
      <c r="N286" s="22"/>
      <c r="O286" s="57" t="s">
        <v>53</v>
      </c>
      <c r="P286" s="24"/>
      <c r="Q286" s="25"/>
    </row>
    <row r="287" spans="2:17" ht="26.25" x14ac:dyDescent="0.25">
      <c r="B287" s="18" t="s">
        <v>18</v>
      </c>
      <c r="C287" s="19" t="s">
        <v>760</v>
      </c>
      <c r="D287" s="19" t="s">
        <v>760</v>
      </c>
      <c r="E287" s="19" t="s">
        <v>761</v>
      </c>
      <c r="F287" s="19" t="s">
        <v>762</v>
      </c>
      <c r="G287" s="57" t="s">
        <v>22</v>
      </c>
      <c r="H287" s="58" t="s">
        <v>23</v>
      </c>
      <c r="I287" s="22">
        <v>2</v>
      </c>
      <c r="J287" s="22">
        <f>587500-43312.5</f>
        <v>544187.5</v>
      </c>
      <c r="K287" s="22">
        <f>I287*J287</f>
        <v>1088375</v>
      </c>
      <c r="L287" s="22"/>
      <c r="M287" s="22"/>
      <c r="N287" s="22"/>
      <c r="O287" s="57" t="s">
        <v>53</v>
      </c>
      <c r="P287" s="24"/>
      <c r="Q287" s="25"/>
    </row>
    <row r="288" spans="2:17" ht="26.25" x14ac:dyDescent="0.25">
      <c r="B288" s="18" t="s">
        <v>18</v>
      </c>
      <c r="C288" s="19" t="s">
        <v>760</v>
      </c>
      <c r="D288" s="19" t="s">
        <v>760</v>
      </c>
      <c r="E288" s="19" t="s">
        <v>763</v>
      </c>
      <c r="F288" s="19" t="s">
        <v>764</v>
      </c>
      <c r="G288" s="57" t="s">
        <v>22</v>
      </c>
      <c r="H288" s="58" t="s">
        <v>23</v>
      </c>
      <c r="I288" s="22">
        <v>15</v>
      </c>
      <c r="J288" s="22">
        <f>401785.71-21785.71</f>
        <v>380000</v>
      </c>
      <c r="K288" s="22">
        <f>I288*J288</f>
        <v>5700000</v>
      </c>
      <c r="L288" s="22"/>
      <c r="M288" s="22"/>
      <c r="N288" s="22"/>
      <c r="O288" s="57" t="s">
        <v>53</v>
      </c>
      <c r="P288" s="24"/>
      <c r="Q288" s="25"/>
    </row>
    <row r="289" spans="1:17" ht="26.25" x14ac:dyDescent="0.25">
      <c r="A289" s="9"/>
      <c r="B289" s="18" t="s">
        <v>18</v>
      </c>
      <c r="C289" s="19" t="s">
        <v>760</v>
      </c>
      <c r="D289" s="19" t="s">
        <v>760</v>
      </c>
      <c r="E289" s="19" t="s">
        <v>765</v>
      </c>
      <c r="F289" s="19" t="s">
        <v>766</v>
      </c>
      <c r="G289" s="57" t="s">
        <v>22</v>
      </c>
      <c r="H289" s="58" t="s">
        <v>23</v>
      </c>
      <c r="I289" s="22">
        <v>19</v>
      </c>
      <c r="J289" s="22">
        <v>535714.28</v>
      </c>
      <c r="K289" s="22">
        <f>I289*J289</f>
        <v>10178571.32</v>
      </c>
      <c r="L289" s="22"/>
      <c r="M289" s="22"/>
      <c r="N289" s="22"/>
      <c r="O289" s="57" t="s">
        <v>79</v>
      </c>
      <c r="P289" s="24"/>
      <c r="Q289" s="25"/>
    </row>
    <row r="290" spans="1:17" ht="26.25" x14ac:dyDescent="0.25">
      <c r="A290" s="9"/>
      <c r="B290" s="18" t="s">
        <v>18</v>
      </c>
      <c r="C290" s="19" t="s">
        <v>767</v>
      </c>
      <c r="D290" s="19" t="s">
        <v>767</v>
      </c>
      <c r="E290" s="19" t="s">
        <v>768</v>
      </c>
      <c r="F290" s="19" t="s">
        <v>769</v>
      </c>
      <c r="G290" s="57" t="s">
        <v>22</v>
      </c>
      <c r="H290" s="58" t="s">
        <v>23</v>
      </c>
      <c r="I290" s="22">
        <v>33</v>
      </c>
      <c r="J290" s="22">
        <f>308256.25-42256.25</f>
        <v>266000</v>
      </c>
      <c r="K290" s="22">
        <f t="shared" si="11"/>
        <v>8778000</v>
      </c>
      <c r="L290" s="22"/>
      <c r="M290" s="22"/>
      <c r="N290" s="22"/>
      <c r="O290" s="57" t="s">
        <v>53</v>
      </c>
      <c r="P290" s="24"/>
      <c r="Q290" s="25"/>
    </row>
    <row r="291" spans="1:17" ht="26.25" x14ac:dyDescent="0.25">
      <c r="A291" s="9"/>
      <c r="B291" s="18" t="s">
        <v>18</v>
      </c>
      <c r="C291" s="19" t="s">
        <v>767</v>
      </c>
      <c r="D291" s="19" t="s">
        <v>767</v>
      </c>
      <c r="E291" s="19" t="s">
        <v>770</v>
      </c>
      <c r="F291" s="19" t="s">
        <v>771</v>
      </c>
      <c r="G291" s="57" t="s">
        <v>447</v>
      </c>
      <c r="H291" s="58" t="s">
        <v>23</v>
      </c>
      <c r="I291" s="22">
        <v>1</v>
      </c>
      <c r="J291" s="22">
        <v>1428787.5</v>
      </c>
      <c r="K291" s="22">
        <f t="shared" si="11"/>
        <v>1428787.5</v>
      </c>
      <c r="L291" s="22"/>
      <c r="M291" s="22"/>
      <c r="N291" s="22"/>
      <c r="O291" s="57" t="s">
        <v>53</v>
      </c>
      <c r="P291" s="24"/>
      <c r="Q291" s="25"/>
    </row>
    <row r="292" spans="1:17" s="9" customFormat="1" ht="25.5" x14ac:dyDescent="0.2">
      <c r="B292" s="18" t="s">
        <v>18</v>
      </c>
      <c r="C292" s="19" t="s">
        <v>767</v>
      </c>
      <c r="D292" s="19" t="s">
        <v>767</v>
      </c>
      <c r="E292" s="19" t="s">
        <v>772</v>
      </c>
      <c r="F292" s="19" t="s">
        <v>772</v>
      </c>
      <c r="G292" s="57" t="s">
        <v>447</v>
      </c>
      <c r="H292" s="58" t="s">
        <v>23</v>
      </c>
      <c r="I292" s="22">
        <v>14</v>
      </c>
      <c r="J292" s="22">
        <v>125000</v>
      </c>
      <c r="K292" s="22">
        <f>I292*J292</f>
        <v>1750000</v>
      </c>
      <c r="L292" s="22"/>
      <c r="M292" s="22"/>
      <c r="N292" s="22"/>
      <c r="O292" s="57" t="s">
        <v>53</v>
      </c>
      <c r="P292" s="24"/>
      <c r="Q292" s="25"/>
    </row>
    <row r="293" spans="1:17" ht="26.25" x14ac:dyDescent="0.25">
      <c r="A293" s="9"/>
      <c r="B293" s="18" t="s">
        <v>18</v>
      </c>
      <c r="C293" s="19" t="s">
        <v>755</v>
      </c>
      <c r="D293" s="19" t="s">
        <v>755</v>
      </c>
      <c r="E293" s="19" t="s">
        <v>773</v>
      </c>
      <c r="F293" s="19" t="s">
        <v>774</v>
      </c>
      <c r="G293" s="57" t="s">
        <v>447</v>
      </c>
      <c r="H293" s="58" t="s">
        <v>23</v>
      </c>
      <c r="I293" s="22">
        <v>2</v>
      </c>
      <c r="J293" s="22">
        <v>230357.15</v>
      </c>
      <c r="K293" s="22">
        <f t="shared" si="11"/>
        <v>460714.3</v>
      </c>
      <c r="L293" s="22"/>
      <c r="M293" s="22"/>
      <c r="N293" s="22"/>
      <c r="O293" s="57" t="s">
        <v>24</v>
      </c>
      <c r="P293" s="24"/>
      <c r="Q293" s="25"/>
    </row>
    <row r="294" spans="1:17" ht="26.25" x14ac:dyDescent="0.25">
      <c r="A294" s="9"/>
      <c r="B294" s="18" t="s">
        <v>18</v>
      </c>
      <c r="C294" s="19" t="s">
        <v>775</v>
      </c>
      <c r="D294" s="19" t="s">
        <v>776</v>
      </c>
      <c r="E294" s="19" t="s">
        <v>777</v>
      </c>
      <c r="F294" s="19" t="s">
        <v>778</v>
      </c>
      <c r="G294" s="57" t="s">
        <v>447</v>
      </c>
      <c r="H294" s="58" t="s">
        <v>23</v>
      </c>
      <c r="I294" s="22">
        <v>5</v>
      </c>
      <c r="J294" s="22">
        <v>166392</v>
      </c>
      <c r="K294" s="22">
        <f t="shared" si="11"/>
        <v>831960</v>
      </c>
      <c r="L294" s="22"/>
      <c r="M294" s="22"/>
      <c r="N294" s="22"/>
      <c r="O294" s="57" t="s">
        <v>24</v>
      </c>
      <c r="P294" s="24"/>
      <c r="Q294" s="25"/>
    </row>
    <row r="295" spans="1:17" ht="21" customHeight="1" x14ac:dyDescent="0.25">
      <c r="A295" s="9"/>
      <c r="B295" s="18" t="s">
        <v>18</v>
      </c>
      <c r="C295" s="19" t="s">
        <v>779</v>
      </c>
      <c r="D295" s="19" t="s">
        <v>780</v>
      </c>
      <c r="E295" s="19" t="s">
        <v>781</v>
      </c>
      <c r="F295" s="19" t="s">
        <v>782</v>
      </c>
      <c r="G295" s="57" t="s">
        <v>272</v>
      </c>
      <c r="H295" s="58" t="s">
        <v>23</v>
      </c>
      <c r="I295" s="22">
        <v>42</v>
      </c>
      <c r="J295" s="22">
        <v>1200929.8999999999</v>
      </c>
      <c r="K295" s="22">
        <f t="shared" si="11"/>
        <v>50439055.799999997</v>
      </c>
      <c r="L295" s="22"/>
      <c r="M295" s="22"/>
      <c r="N295" s="22"/>
      <c r="O295" s="57" t="s">
        <v>24</v>
      </c>
      <c r="P295" s="24"/>
      <c r="Q295" s="25"/>
    </row>
    <row r="296" spans="1:17" ht="30.75" customHeight="1" x14ac:dyDescent="0.25">
      <c r="A296" s="9"/>
      <c r="B296" s="18" t="s">
        <v>18</v>
      </c>
      <c r="C296" s="19" t="s">
        <v>783</v>
      </c>
      <c r="D296" s="19" t="s">
        <v>784</v>
      </c>
      <c r="E296" s="19" t="s">
        <v>785</v>
      </c>
      <c r="F296" s="19" t="s">
        <v>786</v>
      </c>
      <c r="G296" s="57" t="s">
        <v>447</v>
      </c>
      <c r="H296" s="58" t="s">
        <v>23</v>
      </c>
      <c r="I296" s="22">
        <v>35</v>
      </c>
      <c r="J296" s="22">
        <v>28214.29</v>
      </c>
      <c r="K296" s="22">
        <f t="shared" si="11"/>
        <v>987500.15</v>
      </c>
      <c r="L296" s="22"/>
      <c r="M296" s="22"/>
      <c r="N296" s="22"/>
      <c r="O296" s="57" t="s">
        <v>79</v>
      </c>
      <c r="P296" s="24"/>
      <c r="Q296" s="25"/>
    </row>
    <row r="297" spans="1:17" ht="26.25" x14ac:dyDescent="0.25">
      <c r="A297" s="9"/>
      <c r="B297" s="18" t="s">
        <v>18</v>
      </c>
      <c r="C297" s="19" t="s">
        <v>787</v>
      </c>
      <c r="D297" s="19" t="s">
        <v>788</v>
      </c>
      <c r="E297" s="19" t="s">
        <v>789</v>
      </c>
      <c r="F297" s="19" t="s">
        <v>790</v>
      </c>
      <c r="G297" s="57" t="s">
        <v>73</v>
      </c>
      <c r="H297" s="58" t="s">
        <v>23</v>
      </c>
      <c r="I297" s="22">
        <v>3</v>
      </c>
      <c r="J297" s="22">
        <v>718686.61</v>
      </c>
      <c r="K297" s="22">
        <f t="shared" si="11"/>
        <v>2156059.83</v>
      </c>
      <c r="L297" s="22"/>
      <c r="M297" s="22"/>
      <c r="N297" s="22"/>
      <c r="O297" s="57" t="s">
        <v>79</v>
      </c>
      <c r="P297" s="24"/>
      <c r="Q297" s="25"/>
    </row>
    <row r="298" spans="1:17" ht="21" customHeight="1" x14ac:dyDescent="0.25">
      <c r="A298" s="9"/>
      <c r="B298" s="18" t="s">
        <v>18</v>
      </c>
      <c r="C298" s="19" t="s">
        <v>791</v>
      </c>
      <c r="D298" s="19" t="s">
        <v>791</v>
      </c>
      <c r="E298" s="19" t="s">
        <v>792</v>
      </c>
      <c r="F298" s="19" t="s">
        <v>793</v>
      </c>
      <c r="G298" s="57" t="s">
        <v>272</v>
      </c>
      <c r="H298" s="58" t="s">
        <v>23</v>
      </c>
      <c r="I298" s="22">
        <v>2</v>
      </c>
      <c r="J298" s="22">
        <f>44916125-10708958.04-2207166.96</f>
        <v>32000000</v>
      </c>
      <c r="K298" s="22">
        <f t="shared" si="11"/>
        <v>64000000</v>
      </c>
      <c r="L298" s="22"/>
      <c r="M298" s="22"/>
      <c r="N298" s="22"/>
      <c r="O298" s="57" t="s">
        <v>24</v>
      </c>
      <c r="P298" s="24"/>
      <c r="Q298" s="25"/>
    </row>
    <row r="299" spans="1:17" ht="21.75" customHeight="1" x14ac:dyDescent="0.25">
      <c r="A299" s="9"/>
      <c r="B299" s="18" t="s">
        <v>18</v>
      </c>
      <c r="C299" s="19" t="s">
        <v>791</v>
      </c>
      <c r="D299" s="19" t="s">
        <v>791</v>
      </c>
      <c r="E299" s="19" t="s">
        <v>794</v>
      </c>
      <c r="F299" s="19" t="s">
        <v>795</v>
      </c>
      <c r="G299" s="57" t="s">
        <v>272</v>
      </c>
      <c r="H299" s="58" t="s">
        <v>23</v>
      </c>
      <c r="I299" s="22">
        <v>6</v>
      </c>
      <c r="J299" s="22">
        <v>35823375</v>
      </c>
      <c r="K299" s="22">
        <f t="shared" si="11"/>
        <v>214940250</v>
      </c>
      <c r="L299" s="22"/>
      <c r="M299" s="22"/>
      <c r="N299" s="22"/>
      <c r="O299" s="57" t="s">
        <v>24</v>
      </c>
      <c r="P299" s="24"/>
      <c r="Q299" s="25"/>
    </row>
    <row r="300" spans="1:17" ht="21.75" customHeight="1" x14ac:dyDescent="0.25">
      <c r="A300" s="9"/>
      <c r="B300" s="18" t="s">
        <v>18</v>
      </c>
      <c r="C300" s="19" t="s">
        <v>791</v>
      </c>
      <c r="D300" s="19" t="s">
        <v>791</v>
      </c>
      <c r="E300" s="19" t="s">
        <v>796</v>
      </c>
      <c r="F300" s="19" t="s">
        <v>797</v>
      </c>
      <c r="G300" s="57" t="s">
        <v>272</v>
      </c>
      <c r="H300" s="58" t="s">
        <v>23</v>
      </c>
      <c r="I300" s="22">
        <v>1</v>
      </c>
      <c r="J300" s="22">
        <f>38292187.5</f>
        <v>38292187.5</v>
      </c>
      <c r="K300" s="22">
        <f t="shared" si="11"/>
        <v>38292187.5</v>
      </c>
      <c r="L300" s="22"/>
      <c r="M300" s="22"/>
      <c r="N300" s="22"/>
      <c r="O300" s="57" t="s">
        <v>24</v>
      </c>
      <c r="P300" s="24"/>
      <c r="Q300" s="25"/>
    </row>
    <row r="301" spans="1:17" ht="23.25" customHeight="1" x14ac:dyDescent="0.25">
      <c r="A301" s="9"/>
      <c r="B301" s="18" t="s">
        <v>18</v>
      </c>
      <c r="C301" s="19" t="s">
        <v>791</v>
      </c>
      <c r="D301" s="19" t="s">
        <v>791</v>
      </c>
      <c r="E301" s="19" t="s">
        <v>798</v>
      </c>
      <c r="F301" s="19" t="s">
        <v>799</v>
      </c>
      <c r="G301" s="57" t="s">
        <v>272</v>
      </c>
      <c r="H301" s="58" t="s">
        <v>23</v>
      </c>
      <c r="I301" s="22">
        <v>4</v>
      </c>
      <c r="J301" s="22">
        <v>46428571.420000002</v>
      </c>
      <c r="K301" s="22">
        <f t="shared" si="11"/>
        <v>185714285.68000001</v>
      </c>
      <c r="L301" s="24"/>
      <c r="M301" s="24"/>
      <c r="N301" s="22"/>
      <c r="O301" s="57" t="s">
        <v>24</v>
      </c>
      <c r="P301" s="24"/>
      <c r="Q301" s="25"/>
    </row>
    <row r="302" spans="1:17" ht="21.75" customHeight="1" x14ac:dyDescent="0.25">
      <c r="A302" s="9"/>
      <c r="B302" s="18" t="s">
        <v>18</v>
      </c>
      <c r="C302" s="19" t="s">
        <v>791</v>
      </c>
      <c r="D302" s="19" t="s">
        <v>791</v>
      </c>
      <c r="E302" s="19" t="s">
        <v>800</v>
      </c>
      <c r="F302" s="19" t="s">
        <v>801</v>
      </c>
      <c r="G302" s="57" t="s">
        <v>272</v>
      </c>
      <c r="H302" s="58" t="s">
        <v>23</v>
      </c>
      <c r="I302" s="22">
        <v>1</v>
      </c>
      <c r="J302" s="22">
        <f>71428571.43</f>
        <v>71428571.430000007</v>
      </c>
      <c r="K302" s="22">
        <f>I302*J302</f>
        <v>71428571.430000007</v>
      </c>
      <c r="L302" s="24"/>
      <c r="M302" s="24"/>
      <c r="N302" s="22"/>
      <c r="O302" s="57" t="s">
        <v>24</v>
      </c>
      <c r="P302" s="24"/>
      <c r="Q302" s="25"/>
    </row>
    <row r="303" spans="1:17" ht="31.5" customHeight="1" x14ac:dyDescent="0.25">
      <c r="A303" s="9"/>
      <c r="B303" s="18" t="s">
        <v>18</v>
      </c>
      <c r="C303" s="19" t="s">
        <v>802</v>
      </c>
      <c r="D303" s="19" t="s">
        <v>803</v>
      </c>
      <c r="E303" s="19" t="s">
        <v>804</v>
      </c>
      <c r="F303" s="19" t="s">
        <v>805</v>
      </c>
      <c r="G303" s="57" t="s">
        <v>272</v>
      </c>
      <c r="H303" s="58" t="s">
        <v>23</v>
      </c>
      <c r="I303" s="22">
        <v>10</v>
      </c>
      <c r="J303" s="22">
        <f>4517051.04-97051.04</f>
        <v>4420000</v>
      </c>
      <c r="K303" s="22">
        <f t="shared" si="11"/>
        <v>44200000</v>
      </c>
      <c r="L303" s="22"/>
      <c r="M303" s="22"/>
      <c r="N303" s="22"/>
      <c r="O303" s="57" t="s">
        <v>27</v>
      </c>
      <c r="P303" s="24"/>
      <c r="Q303" s="25"/>
    </row>
    <row r="304" spans="1:17" ht="32.25" customHeight="1" x14ac:dyDescent="0.25">
      <c r="A304" s="9"/>
      <c r="B304" s="18" t="s">
        <v>18</v>
      </c>
      <c r="C304" s="19" t="s">
        <v>806</v>
      </c>
      <c r="D304" s="19" t="s">
        <v>807</v>
      </c>
      <c r="E304" s="19" t="s">
        <v>808</v>
      </c>
      <c r="F304" s="19" t="s">
        <v>809</v>
      </c>
      <c r="G304" s="57" t="s">
        <v>272</v>
      </c>
      <c r="H304" s="58" t="s">
        <v>23</v>
      </c>
      <c r="I304" s="22">
        <v>6</v>
      </c>
      <c r="J304" s="22">
        <v>2009000</v>
      </c>
      <c r="K304" s="22">
        <f>I304*J304</f>
        <v>12054000</v>
      </c>
      <c r="L304" s="22"/>
      <c r="M304" s="22"/>
      <c r="N304" s="22"/>
      <c r="O304" s="57" t="s">
        <v>53</v>
      </c>
      <c r="P304" s="24"/>
      <c r="Q304" s="25"/>
    </row>
    <row r="305" spans="1:17" s="9" customFormat="1" ht="28.5" customHeight="1" x14ac:dyDescent="0.2">
      <c r="B305" s="18" t="s">
        <v>18</v>
      </c>
      <c r="C305" s="19" t="s">
        <v>810</v>
      </c>
      <c r="D305" s="19" t="s">
        <v>810</v>
      </c>
      <c r="E305" s="19" t="s">
        <v>811</v>
      </c>
      <c r="F305" s="19" t="s">
        <v>812</v>
      </c>
      <c r="G305" s="57" t="s">
        <v>272</v>
      </c>
      <c r="H305" s="58" t="s">
        <v>23</v>
      </c>
      <c r="I305" s="22">
        <v>6</v>
      </c>
      <c r="J305" s="22">
        <v>1446008.95</v>
      </c>
      <c r="K305" s="22">
        <f>I305*J305</f>
        <v>8676053.6999999993</v>
      </c>
      <c r="L305" s="22"/>
      <c r="M305" s="22"/>
      <c r="N305" s="22"/>
      <c r="O305" s="57" t="s">
        <v>24</v>
      </c>
      <c r="P305" s="24"/>
      <c r="Q305" s="25"/>
    </row>
    <row r="306" spans="1:17" s="9" customFormat="1" ht="32.25" customHeight="1" x14ac:dyDescent="0.2">
      <c r="B306" s="18" t="s">
        <v>18</v>
      </c>
      <c r="C306" s="19" t="s">
        <v>813</v>
      </c>
      <c r="D306" s="19" t="s">
        <v>814</v>
      </c>
      <c r="E306" s="19" t="s">
        <v>815</v>
      </c>
      <c r="F306" s="19" t="s">
        <v>816</v>
      </c>
      <c r="G306" s="57" t="s">
        <v>272</v>
      </c>
      <c r="H306" s="58" t="s">
        <v>23</v>
      </c>
      <c r="I306" s="22">
        <v>24</v>
      </c>
      <c r="J306" s="48">
        <v>727266.0625</v>
      </c>
      <c r="K306" s="22">
        <f>I306*J306</f>
        <v>17454385.5</v>
      </c>
      <c r="L306" s="22"/>
      <c r="M306" s="22"/>
      <c r="N306" s="22"/>
      <c r="O306" s="57" t="s">
        <v>27</v>
      </c>
      <c r="P306" s="24"/>
      <c r="Q306" s="25"/>
    </row>
    <row r="307" spans="1:17" ht="28.5" customHeight="1" x14ac:dyDescent="0.25">
      <c r="A307" s="9"/>
      <c r="B307" s="18" t="s">
        <v>18</v>
      </c>
      <c r="C307" s="19" t="s">
        <v>817</v>
      </c>
      <c r="D307" s="19" t="s">
        <v>818</v>
      </c>
      <c r="E307" s="19" t="s">
        <v>819</v>
      </c>
      <c r="F307" s="19" t="s">
        <v>820</v>
      </c>
      <c r="G307" s="57" t="s">
        <v>272</v>
      </c>
      <c r="H307" s="58" t="s">
        <v>517</v>
      </c>
      <c r="I307" s="22">
        <v>1</v>
      </c>
      <c r="J307" s="22">
        <f>123256680.4-1306680.4</f>
        <v>121950000</v>
      </c>
      <c r="K307" s="22">
        <f>I307*J307</f>
        <v>121950000</v>
      </c>
      <c r="L307" s="22"/>
      <c r="M307" s="22"/>
      <c r="N307" s="22"/>
      <c r="O307" s="57" t="s">
        <v>53</v>
      </c>
      <c r="P307" s="24"/>
      <c r="Q307" s="25"/>
    </row>
    <row r="308" spans="1:17" ht="30" customHeight="1" x14ac:dyDescent="0.25">
      <c r="A308" s="9"/>
      <c r="B308" s="18" t="s">
        <v>18</v>
      </c>
      <c r="C308" s="19" t="s">
        <v>821</v>
      </c>
      <c r="D308" s="19" t="s">
        <v>822</v>
      </c>
      <c r="E308" s="19" t="s">
        <v>823</v>
      </c>
      <c r="F308" s="19" t="s">
        <v>824</v>
      </c>
      <c r="G308" s="57" t="s">
        <v>272</v>
      </c>
      <c r="H308" s="58" t="s">
        <v>23</v>
      </c>
      <c r="I308" s="22">
        <v>6</v>
      </c>
      <c r="J308" s="22">
        <f>26748511.9-166666.9</f>
        <v>26581845</v>
      </c>
      <c r="K308" s="22">
        <f t="shared" si="11"/>
        <v>159491070</v>
      </c>
      <c r="L308" s="22"/>
      <c r="M308" s="22"/>
      <c r="N308" s="22"/>
      <c r="O308" s="57" t="s">
        <v>27</v>
      </c>
      <c r="P308" s="24"/>
      <c r="Q308" s="25"/>
    </row>
    <row r="309" spans="1:17" ht="28.5" customHeight="1" x14ac:dyDescent="0.25">
      <c r="A309" s="9"/>
      <c r="B309" s="18" t="s">
        <v>18</v>
      </c>
      <c r="C309" s="19" t="s">
        <v>821</v>
      </c>
      <c r="D309" s="19" t="s">
        <v>822</v>
      </c>
      <c r="E309" s="19" t="s">
        <v>825</v>
      </c>
      <c r="F309" s="19" t="s">
        <v>826</v>
      </c>
      <c r="G309" s="57" t="s">
        <v>272</v>
      </c>
      <c r="H309" s="58" t="s">
        <v>23</v>
      </c>
      <c r="I309" s="22">
        <v>4</v>
      </c>
      <c r="J309" s="22">
        <f>176750000/1.12/I309-250000</f>
        <v>39203124.999999993</v>
      </c>
      <c r="K309" s="22">
        <f>I309*J309</f>
        <v>156812499.99999997</v>
      </c>
      <c r="L309" s="22"/>
      <c r="M309" s="22"/>
      <c r="N309" s="22"/>
      <c r="O309" s="57" t="s">
        <v>27</v>
      </c>
      <c r="P309" s="24"/>
      <c r="Q309" s="25"/>
    </row>
    <row r="310" spans="1:17" ht="30" customHeight="1" x14ac:dyDescent="0.25">
      <c r="A310" s="9"/>
      <c r="B310" s="18" t="s">
        <v>18</v>
      </c>
      <c r="C310" s="19" t="s">
        <v>827</v>
      </c>
      <c r="D310" s="19" t="s">
        <v>827</v>
      </c>
      <c r="E310" s="19" t="s">
        <v>828</v>
      </c>
      <c r="F310" s="19" t="s">
        <v>829</v>
      </c>
      <c r="G310" s="57" t="s">
        <v>272</v>
      </c>
      <c r="H310" s="58" t="s">
        <v>23</v>
      </c>
      <c r="I310" s="22">
        <v>120</v>
      </c>
      <c r="J310" s="22">
        <f>122848.21+18642.86</f>
        <v>141491.07</v>
      </c>
      <c r="K310" s="22">
        <f t="shared" si="11"/>
        <v>16978928.400000002</v>
      </c>
      <c r="L310" s="22"/>
      <c r="M310" s="22"/>
      <c r="N310" s="22"/>
      <c r="O310" s="57" t="s">
        <v>79</v>
      </c>
      <c r="P310" s="24"/>
      <c r="Q310" s="25"/>
    </row>
    <row r="311" spans="1:17" ht="33.75" customHeight="1" x14ac:dyDescent="0.25">
      <c r="A311" s="9"/>
      <c r="B311" s="18" t="s">
        <v>18</v>
      </c>
      <c r="C311" s="19" t="s">
        <v>830</v>
      </c>
      <c r="D311" s="19" t="s">
        <v>831</v>
      </c>
      <c r="E311" s="19" t="s">
        <v>832</v>
      </c>
      <c r="F311" s="19" t="s">
        <v>833</v>
      </c>
      <c r="G311" s="57" t="s">
        <v>447</v>
      </c>
      <c r="H311" s="58" t="s">
        <v>262</v>
      </c>
      <c r="I311" s="22">
        <v>1</v>
      </c>
      <c r="J311" s="22">
        <f>3000000-1600000</f>
        <v>1400000</v>
      </c>
      <c r="K311" s="22">
        <f t="shared" si="11"/>
        <v>1400000</v>
      </c>
      <c r="L311" s="22"/>
      <c r="M311" s="22"/>
      <c r="N311" s="22"/>
      <c r="O311" s="57" t="s">
        <v>79</v>
      </c>
      <c r="P311" s="37"/>
      <c r="Q311" s="25"/>
    </row>
    <row r="312" spans="1:17" ht="37.5" customHeight="1" x14ac:dyDescent="0.25">
      <c r="A312" s="9"/>
      <c r="B312" s="18" t="s">
        <v>18</v>
      </c>
      <c r="C312" s="19" t="s">
        <v>830</v>
      </c>
      <c r="D312" s="19" t="s">
        <v>831</v>
      </c>
      <c r="E312" s="19" t="s">
        <v>834</v>
      </c>
      <c r="F312" s="19" t="s">
        <v>835</v>
      </c>
      <c r="G312" s="57" t="s">
        <v>73</v>
      </c>
      <c r="H312" s="58" t="s">
        <v>262</v>
      </c>
      <c r="I312" s="22">
        <v>1</v>
      </c>
      <c r="J312" s="22">
        <f>3000000-1400000</f>
        <v>1600000</v>
      </c>
      <c r="K312" s="22">
        <f t="shared" si="11"/>
        <v>1600000</v>
      </c>
      <c r="L312" s="22"/>
      <c r="M312" s="22"/>
      <c r="N312" s="22"/>
      <c r="O312" s="57" t="s">
        <v>79</v>
      </c>
      <c r="P312" s="37"/>
      <c r="Q312" s="25"/>
    </row>
    <row r="313" spans="1:17" ht="41.25" customHeight="1" x14ac:dyDescent="0.25">
      <c r="A313" s="9"/>
      <c r="B313" s="18" t="s">
        <v>18</v>
      </c>
      <c r="C313" s="19" t="s">
        <v>830</v>
      </c>
      <c r="D313" s="19" t="s">
        <v>831</v>
      </c>
      <c r="E313" s="19" t="s">
        <v>836</v>
      </c>
      <c r="F313" s="19" t="s">
        <v>837</v>
      </c>
      <c r="G313" s="57" t="s">
        <v>447</v>
      </c>
      <c r="H313" s="58" t="s">
        <v>262</v>
      </c>
      <c r="I313" s="22">
        <v>1</v>
      </c>
      <c r="J313" s="22">
        <v>3815624.9999999995</v>
      </c>
      <c r="K313" s="22">
        <f t="shared" si="11"/>
        <v>3815624.9999999995</v>
      </c>
      <c r="L313" s="22"/>
      <c r="M313" s="22"/>
      <c r="N313" s="22"/>
      <c r="O313" s="57" t="s">
        <v>24</v>
      </c>
      <c r="P313" s="24"/>
      <c r="Q313" s="25"/>
    </row>
    <row r="314" spans="1:17" ht="32.25" customHeight="1" x14ac:dyDescent="0.25">
      <c r="A314" s="9"/>
      <c r="B314" s="18" t="s">
        <v>18</v>
      </c>
      <c r="C314" s="19" t="s">
        <v>830</v>
      </c>
      <c r="D314" s="19" t="s">
        <v>831</v>
      </c>
      <c r="E314" s="19" t="s">
        <v>838</v>
      </c>
      <c r="F314" s="19" t="s">
        <v>839</v>
      </c>
      <c r="G314" s="57" t="s">
        <v>73</v>
      </c>
      <c r="H314" s="58" t="s">
        <v>262</v>
      </c>
      <c r="I314" s="22">
        <v>1</v>
      </c>
      <c r="J314" s="22">
        <v>173010600</v>
      </c>
      <c r="K314" s="22">
        <f t="shared" si="11"/>
        <v>173010600</v>
      </c>
      <c r="L314" s="22"/>
      <c r="M314" s="22"/>
      <c r="N314" s="22"/>
      <c r="O314" s="57" t="s">
        <v>53</v>
      </c>
      <c r="P314" s="24"/>
      <c r="Q314" s="25"/>
    </row>
    <row r="315" spans="1:17" ht="51.75" x14ac:dyDescent="0.25">
      <c r="A315" s="9"/>
      <c r="B315" s="18" t="s">
        <v>18</v>
      </c>
      <c r="C315" s="19" t="s">
        <v>830</v>
      </c>
      <c r="D315" s="19" t="s">
        <v>831</v>
      </c>
      <c r="E315" s="19" t="s">
        <v>840</v>
      </c>
      <c r="F315" s="19" t="s">
        <v>841</v>
      </c>
      <c r="G315" s="57" t="s">
        <v>73</v>
      </c>
      <c r="H315" s="58" t="s">
        <v>262</v>
      </c>
      <c r="I315" s="22">
        <v>1</v>
      </c>
      <c r="J315" s="22">
        <v>4500000</v>
      </c>
      <c r="K315" s="22">
        <f>I315*J315</f>
        <v>4500000</v>
      </c>
      <c r="L315" s="22"/>
      <c r="M315" s="22"/>
      <c r="N315" s="22"/>
      <c r="O315" s="57" t="s">
        <v>27</v>
      </c>
      <c r="P315" s="24"/>
      <c r="Q315" s="25"/>
    </row>
    <row r="316" spans="1:17" x14ac:dyDescent="0.25">
      <c r="A316" s="9"/>
      <c r="B316" s="9"/>
      <c r="C316" s="7"/>
      <c r="D316" s="7"/>
      <c r="E316" s="7"/>
      <c r="F316" s="7"/>
      <c r="G316" s="9"/>
      <c r="H316" s="9"/>
      <c r="I316" s="9"/>
      <c r="J316" s="9"/>
      <c r="K316" s="25"/>
      <c r="L316" s="9"/>
      <c r="M316" s="9"/>
      <c r="N316" s="9"/>
      <c r="O316" s="9"/>
      <c r="P316" s="9"/>
      <c r="Q316" s="2"/>
    </row>
    <row r="317" spans="1:17" x14ac:dyDescent="0.25">
      <c r="A317" s="9"/>
      <c r="B317" s="9"/>
      <c r="C317" s="7"/>
      <c r="D317" s="7"/>
      <c r="E317" s="7"/>
      <c r="F317" s="7"/>
      <c r="G317" s="9"/>
      <c r="H317" s="9"/>
      <c r="I317" s="9"/>
      <c r="J317" s="9"/>
      <c r="K317" s="25"/>
      <c r="L317" s="9"/>
      <c r="M317" s="9"/>
      <c r="N317" s="9"/>
      <c r="O317" s="9"/>
      <c r="P317" s="9"/>
      <c r="Q317" s="2"/>
    </row>
    <row r="318" spans="1:17" x14ac:dyDescent="0.25">
      <c r="A318" s="9"/>
      <c r="B318" s="26"/>
      <c r="C318" s="49"/>
      <c r="D318" s="49"/>
      <c r="E318" s="49"/>
      <c r="F318" s="49"/>
      <c r="G318" s="9"/>
      <c r="H318" s="9"/>
      <c r="I318" s="9"/>
      <c r="J318" s="9"/>
      <c r="K318" s="25"/>
      <c r="L318" s="9"/>
      <c r="M318" s="9"/>
      <c r="N318" s="9"/>
      <c r="O318" s="9"/>
      <c r="P318" s="9"/>
      <c r="Q318" s="2"/>
    </row>
    <row r="319" spans="1:17" ht="12" customHeight="1" x14ac:dyDescent="0.25">
      <c r="A319" s="9"/>
      <c r="B319" s="9"/>
      <c r="C319" s="49"/>
      <c r="D319" s="50"/>
      <c r="E319" s="50"/>
      <c r="F319" s="7"/>
      <c r="G319" s="51"/>
      <c r="H319" s="9"/>
      <c r="I319" s="52"/>
      <c r="J319" s="9"/>
      <c r="K319" s="36"/>
      <c r="L319" s="9"/>
      <c r="M319" s="9"/>
      <c r="N319" s="9"/>
      <c r="O319" s="9"/>
      <c r="P319" s="9"/>
      <c r="Q319" s="2"/>
    </row>
    <row r="320" spans="1:17" x14ac:dyDescent="0.25">
      <c r="A320" s="9"/>
      <c r="B320" s="26"/>
      <c r="C320" s="49"/>
      <c r="D320" s="50"/>
      <c r="E320" s="50"/>
      <c r="F320" s="50"/>
      <c r="G320" s="9"/>
      <c r="H320" s="9"/>
      <c r="I320" s="52"/>
      <c r="J320" s="2"/>
      <c r="K320" s="36"/>
      <c r="L320" s="9"/>
      <c r="M320" s="25"/>
      <c r="N320" s="9"/>
      <c r="O320" s="25"/>
      <c r="P320" s="36"/>
      <c r="Q320" s="2"/>
    </row>
    <row r="321" spans="2:17" x14ac:dyDescent="0.25">
      <c r="B321" s="9"/>
      <c r="C321" s="49"/>
      <c r="D321" s="50"/>
      <c r="E321" s="50"/>
      <c r="F321" s="50"/>
      <c r="G321" s="50"/>
      <c r="H321" s="9"/>
      <c r="I321" s="52"/>
      <c r="J321" s="2"/>
      <c r="K321" s="36"/>
      <c r="L321" s="9"/>
      <c r="M321" s="9"/>
      <c r="N321" s="9"/>
      <c r="O321" s="9"/>
      <c r="P321" s="36"/>
      <c r="Q321" s="2"/>
    </row>
    <row r="322" spans="2:17" x14ac:dyDescent="0.25">
      <c r="B322" s="9"/>
      <c r="C322" s="9"/>
      <c r="D322" s="9"/>
      <c r="E322" s="9"/>
      <c r="F322" s="7"/>
      <c r="G322" s="9"/>
      <c r="H322" s="9"/>
      <c r="I322" s="9"/>
      <c r="J322" s="2"/>
      <c r="K322" s="25"/>
      <c r="L322" s="9"/>
      <c r="M322" s="9"/>
      <c r="N322" s="9"/>
      <c r="O322" s="9"/>
      <c r="P322" s="9"/>
      <c r="Q322" s="47"/>
    </row>
    <row r="323" spans="2:17" x14ac:dyDescent="0.25">
      <c r="B323" s="9"/>
      <c r="C323" s="9"/>
      <c r="D323" s="9"/>
      <c r="E323" s="9"/>
      <c r="F323" s="7"/>
      <c r="G323" s="9"/>
      <c r="H323" s="9"/>
      <c r="I323" s="9"/>
      <c r="J323" s="2"/>
      <c r="K323" s="25"/>
      <c r="L323" s="9"/>
      <c r="M323" s="9"/>
      <c r="N323" s="9"/>
      <c r="O323" s="9"/>
      <c r="P323" s="9"/>
      <c r="Q323" s="47"/>
    </row>
    <row r="324" spans="2:17" x14ac:dyDescent="0.25">
      <c r="B324" s="9"/>
      <c r="C324" s="9"/>
      <c r="D324" s="9"/>
      <c r="E324" s="9"/>
      <c r="F324" s="7"/>
      <c r="G324" s="9"/>
      <c r="H324" s="9"/>
      <c r="I324" s="9"/>
      <c r="J324" s="2"/>
      <c r="K324" s="25"/>
      <c r="L324" s="9"/>
      <c r="M324" s="9"/>
      <c r="N324" s="9"/>
      <c r="O324" s="9"/>
      <c r="P324" s="9"/>
      <c r="Q324" s="47"/>
    </row>
    <row r="325" spans="2:17" x14ac:dyDescent="0.25">
      <c r="B325" s="9"/>
      <c r="C325" s="9"/>
      <c r="D325" s="9"/>
      <c r="E325" s="9"/>
      <c r="F325" s="7"/>
      <c r="G325" s="9"/>
      <c r="H325" s="9"/>
      <c r="I325" s="9"/>
      <c r="J325" s="2"/>
      <c r="K325" s="25"/>
      <c r="L325" s="9"/>
      <c r="M325" s="9"/>
      <c r="N325" s="9"/>
      <c r="O325" s="9"/>
      <c r="P325" s="9"/>
      <c r="Q325" s="47"/>
    </row>
    <row r="326" spans="2:17" x14ac:dyDescent="0.25">
      <c r="B326" s="9"/>
      <c r="C326" s="9"/>
      <c r="D326" s="9"/>
      <c r="E326" s="9"/>
      <c r="F326" s="7"/>
      <c r="G326" s="9"/>
      <c r="H326" s="9"/>
      <c r="I326" s="9"/>
      <c r="J326" s="2"/>
      <c r="K326" s="25"/>
      <c r="L326" s="9"/>
      <c r="M326" s="9"/>
      <c r="N326" s="9"/>
      <c r="O326" s="9"/>
      <c r="P326" s="9"/>
      <c r="Q326" s="47"/>
    </row>
    <row r="327" spans="2:17" x14ac:dyDescent="0.25">
      <c r="B327" s="9"/>
      <c r="C327" s="9"/>
      <c r="D327" s="9"/>
      <c r="E327" s="9"/>
      <c r="F327" s="7"/>
      <c r="G327" s="9"/>
      <c r="H327" s="9"/>
      <c r="I327" s="9"/>
      <c r="J327" s="2"/>
      <c r="K327" s="25"/>
      <c r="L327" s="9"/>
      <c r="M327" s="9"/>
      <c r="N327" s="9"/>
      <c r="O327" s="9"/>
      <c r="P327" s="9"/>
      <c r="Q327" s="47"/>
    </row>
    <row r="328" spans="2:17" x14ac:dyDescent="0.25">
      <c r="B328" s="9"/>
      <c r="C328" s="9"/>
      <c r="D328" s="9"/>
      <c r="E328" s="9"/>
      <c r="F328" s="7"/>
      <c r="G328" s="9"/>
      <c r="H328" s="9"/>
      <c r="I328" s="9"/>
      <c r="J328" s="2"/>
      <c r="K328" s="25"/>
      <c r="L328" s="9"/>
      <c r="M328" s="9"/>
      <c r="N328" s="9"/>
      <c r="O328" s="9"/>
      <c r="P328" s="9"/>
      <c r="Q328" s="47"/>
    </row>
    <row r="329" spans="2:17" x14ac:dyDescent="0.25">
      <c r="B329" s="9"/>
      <c r="C329" s="9"/>
      <c r="D329" s="9"/>
      <c r="E329" s="9"/>
      <c r="F329" s="7"/>
      <c r="G329" s="9"/>
      <c r="H329" s="9"/>
      <c r="I329" s="9"/>
      <c r="J329" s="2"/>
      <c r="K329" s="25"/>
      <c r="L329" s="9"/>
      <c r="M329" s="9"/>
      <c r="N329" s="9"/>
      <c r="O329" s="9"/>
      <c r="P329" s="9"/>
      <c r="Q329" s="47"/>
    </row>
    <row r="330" spans="2:17" x14ac:dyDescent="0.25">
      <c r="B330" s="7"/>
      <c r="C330" s="7"/>
      <c r="D330" s="7"/>
      <c r="E330" s="7"/>
      <c r="F330" s="7"/>
      <c r="G330" s="9"/>
      <c r="H330" s="9"/>
      <c r="I330" s="9"/>
      <c r="J330" s="2"/>
      <c r="K330" s="25"/>
      <c r="L330" s="9"/>
      <c r="M330" s="9"/>
      <c r="N330" s="9"/>
      <c r="O330" s="9"/>
      <c r="P330" s="9"/>
      <c r="Q330" s="47"/>
    </row>
    <row r="331" spans="2:17" x14ac:dyDescent="0.25">
      <c r="B331" s="49"/>
      <c r="C331" s="7"/>
      <c r="D331" s="7"/>
      <c r="E331" s="7"/>
      <c r="F331" s="7"/>
      <c r="G331" s="9"/>
      <c r="H331" s="9"/>
      <c r="I331" s="9"/>
      <c r="J331" s="2"/>
      <c r="K331" s="25"/>
      <c r="L331" s="9"/>
      <c r="M331" s="9"/>
      <c r="N331" s="9"/>
      <c r="O331" s="9"/>
      <c r="P331" s="9"/>
      <c r="Q331" s="47"/>
    </row>
    <row r="332" spans="2:17" x14ac:dyDescent="0.25">
      <c r="B332" s="64"/>
      <c r="C332" s="64"/>
      <c r="D332" s="9"/>
      <c r="E332" s="8"/>
      <c r="F332" s="7"/>
      <c r="G332" s="9"/>
      <c r="H332" s="9"/>
      <c r="I332" s="9"/>
      <c r="J332" s="2"/>
      <c r="K332" s="25"/>
      <c r="L332" s="9"/>
      <c r="M332" s="9"/>
      <c r="N332" s="9"/>
      <c r="O332" s="9"/>
      <c r="P332" s="9"/>
      <c r="Q332" s="47"/>
    </row>
    <row r="333" spans="2:17" x14ac:dyDescent="0.25">
      <c r="B333" s="49"/>
      <c r="C333" s="7"/>
      <c r="D333" s="9"/>
      <c r="E333" s="8"/>
      <c r="F333" s="7"/>
      <c r="G333" s="9"/>
      <c r="H333" s="9"/>
      <c r="I333" s="9"/>
      <c r="J333" s="2"/>
      <c r="K333" s="25"/>
      <c r="L333" s="9"/>
      <c r="M333" s="9"/>
      <c r="N333" s="9"/>
      <c r="O333" s="9"/>
      <c r="P333" s="9"/>
      <c r="Q333" s="47"/>
    </row>
    <row r="334" spans="2:17" x14ac:dyDescent="0.25">
      <c r="B334" s="64"/>
      <c r="C334" s="64"/>
      <c r="D334" s="9"/>
      <c r="E334" s="8"/>
      <c r="F334" s="7"/>
      <c r="G334" s="9"/>
      <c r="H334" s="9"/>
      <c r="I334" s="9"/>
      <c r="J334" s="2"/>
      <c r="K334" s="25"/>
      <c r="L334" s="9"/>
      <c r="M334" s="9"/>
      <c r="N334" s="9"/>
      <c r="O334" s="9"/>
      <c r="P334" s="9"/>
      <c r="Q334" s="47"/>
    </row>
    <row r="335" spans="2:17" x14ac:dyDescent="0.25">
      <c r="B335" s="49"/>
      <c r="C335" s="7"/>
      <c r="D335" s="9"/>
      <c r="E335" s="8"/>
      <c r="F335" s="7"/>
      <c r="G335" s="9"/>
      <c r="H335" s="9"/>
      <c r="I335" s="9"/>
      <c r="J335" s="2"/>
      <c r="K335" s="25"/>
      <c r="L335" s="9"/>
      <c r="M335" s="9"/>
      <c r="N335" s="9"/>
      <c r="O335" s="9"/>
      <c r="P335" s="9"/>
      <c r="Q335" s="47"/>
    </row>
    <row r="336" spans="2:17" x14ac:dyDescent="0.25">
      <c r="B336" s="64"/>
      <c r="C336" s="64"/>
      <c r="D336" s="9"/>
      <c r="E336" s="8"/>
      <c r="F336" s="7"/>
      <c r="G336" s="9"/>
      <c r="H336" s="9"/>
      <c r="I336" s="9"/>
      <c r="J336" s="2"/>
      <c r="K336" s="25"/>
      <c r="L336" s="9"/>
      <c r="M336" s="9"/>
      <c r="N336" s="9"/>
      <c r="O336" s="9"/>
      <c r="P336" s="9"/>
      <c r="Q336" s="47"/>
    </row>
    <row r="337" spans="2:17" x14ac:dyDescent="0.25">
      <c r="B337" s="9"/>
      <c r="C337" s="9"/>
      <c r="D337" s="9"/>
      <c r="E337" s="12"/>
      <c r="F337" s="7"/>
      <c r="G337" s="9"/>
      <c r="H337" s="9"/>
      <c r="I337" s="9"/>
      <c r="J337" s="2"/>
      <c r="K337" s="25"/>
      <c r="L337" s="9"/>
      <c r="M337" s="9"/>
      <c r="N337" s="9"/>
      <c r="O337" s="9"/>
      <c r="P337" s="9"/>
      <c r="Q337" s="47"/>
    </row>
    <row r="338" spans="2:17" x14ac:dyDescent="0.25">
      <c r="B338" s="7"/>
      <c r="C338" s="7"/>
      <c r="D338" s="9"/>
      <c r="E338" s="8"/>
      <c r="F338" s="7"/>
      <c r="G338" s="9"/>
      <c r="H338" s="9"/>
      <c r="I338" s="9"/>
      <c r="J338" s="2"/>
      <c r="K338" s="25"/>
      <c r="L338" s="9"/>
      <c r="M338" s="9"/>
      <c r="N338" s="9"/>
      <c r="O338" s="9"/>
      <c r="P338" s="9"/>
      <c r="Q338" s="47"/>
    </row>
    <row r="339" spans="2:17" x14ac:dyDescent="0.25">
      <c r="B339" s="7"/>
      <c r="C339" s="7"/>
      <c r="D339" s="9"/>
      <c r="E339" s="8"/>
      <c r="F339" s="7"/>
      <c r="G339" s="9"/>
      <c r="H339" s="9"/>
      <c r="I339" s="9"/>
      <c r="J339" s="2"/>
      <c r="K339" s="25"/>
      <c r="L339" s="9"/>
      <c r="M339" s="9"/>
      <c r="N339" s="9"/>
      <c r="O339" s="9"/>
      <c r="P339" s="9"/>
      <c r="Q339" s="47"/>
    </row>
    <row r="340" spans="2:17" x14ac:dyDescent="0.25">
      <c r="B340" s="7"/>
      <c r="C340" s="7"/>
      <c r="D340" s="9"/>
      <c r="E340" s="8"/>
      <c r="F340" s="7"/>
      <c r="G340" s="9"/>
      <c r="H340" s="9"/>
      <c r="I340" s="9"/>
      <c r="J340" s="2"/>
      <c r="K340" s="25"/>
      <c r="L340" s="9"/>
      <c r="M340" s="9"/>
      <c r="N340" s="9"/>
      <c r="O340" s="9"/>
      <c r="P340" s="9"/>
      <c r="Q340" s="47"/>
    </row>
    <row r="341" spans="2:17" x14ac:dyDescent="0.25">
      <c r="B341" s="7"/>
      <c r="C341" s="7"/>
      <c r="D341" s="9"/>
      <c r="E341" s="8"/>
      <c r="F341" s="7"/>
      <c r="G341" s="9"/>
      <c r="H341" s="9"/>
      <c r="I341" s="9"/>
      <c r="J341" s="2"/>
      <c r="K341" s="25"/>
      <c r="L341" s="9"/>
      <c r="M341" s="9"/>
      <c r="N341" s="9"/>
      <c r="O341" s="9"/>
      <c r="P341" s="9"/>
      <c r="Q341" s="47"/>
    </row>
    <row r="342" spans="2:17" x14ac:dyDescent="0.25">
      <c r="B342" s="53"/>
      <c r="C342" s="54"/>
      <c r="D342" s="9"/>
      <c r="E342" s="8"/>
      <c r="F342" s="7"/>
      <c r="G342" s="9"/>
      <c r="H342" s="9"/>
      <c r="I342" s="9"/>
      <c r="J342" s="2"/>
      <c r="K342" s="25"/>
      <c r="L342" s="9"/>
      <c r="M342" s="9"/>
      <c r="N342" s="9"/>
      <c r="O342" s="9"/>
      <c r="P342" s="9"/>
      <c r="Q342" s="47"/>
    </row>
    <row r="343" spans="2:17" x14ac:dyDescent="0.25">
      <c r="B343" s="7"/>
      <c r="C343" s="7"/>
      <c r="D343" s="9"/>
      <c r="E343" s="8"/>
      <c r="F343" s="7"/>
      <c r="G343" s="9"/>
      <c r="H343" s="9"/>
      <c r="I343" s="9"/>
      <c r="J343" s="2"/>
      <c r="K343" s="25"/>
      <c r="L343" s="9"/>
      <c r="M343" s="9"/>
      <c r="N343" s="9"/>
      <c r="O343" s="9"/>
      <c r="P343" s="9"/>
      <c r="Q343" s="47"/>
    </row>
    <row r="344" spans="2:17" x14ac:dyDescent="0.25">
      <c r="B344" s="7"/>
      <c r="C344" s="7"/>
      <c r="D344" s="9"/>
      <c r="E344" s="8"/>
      <c r="F344" s="7"/>
      <c r="G344" s="9"/>
      <c r="H344" s="9"/>
      <c r="I344" s="9"/>
      <c r="J344" s="2"/>
      <c r="K344" s="25"/>
      <c r="L344" s="9"/>
      <c r="M344" s="9"/>
      <c r="N344" s="9"/>
      <c r="O344" s="9"/>
      <c r="P344" s="9"/>
      <c r="Q344" s="47"/>
    </row>
    <row r="345" spans="2:17" x14ac:dyDescent="0.25">
      <c r="B345" s="7"/>
      <c r="C345" s="7"/>
      <c r="D345" s="9"/>
      <c r="E345" s="8"/>
      <c r="F345" s="7"/>
      <c r="G345" s="9"/>
      <c r="H345" s="9"/>
      <c r="I345" s="9"/>
      <c r="J345" s="2"/>
      <c r="K345" s="25"/>
      <c r="L345" s="9"/>
      <c r="M345" s="9"/>
      <c r="N345" s="9"/>
      <c r="O345" s="9"/>
      <c r="P345" s="9"/>
      <c r="Q345" s="47"/>
    </row>
    <row r="346" spans="2:17" x14ac:dyDescent="0.25">
      <c r="B346" s="7"/>
      <c r="C346" s="7"/>
      <c r="D346" s="9"/>
      <c r="E346" s="8"/>
      <c r="F346" s="7"/>
      <c r="G346" s="9"/>
      <c r="H346" s="9"/>
      <c r="I346" s="9"/>
      <c r="J346" s="2"/>
      <c r="K346" s="25"/>
      <c r="L346" s="9"/>
      <c r="M346" s="9"/>
      <c r="N346" s="9"/>
      <c r="O346" s="9"/>
      <c r="P346" s="9"/>
      <c r="Q346" s="47"/>
    </row>
    <row r="347" spans="2:17" x14ac:dyDescent="0.25">
      <c r="B347" s="7"/>
      <c r="C347" s="7"/>
      <c r="D347" s="9"/>
      <c r="E347" s="8"/>
      <c r="F347" s="7"/>
      <c r="G347" s="9"/>
      <c r="H347" s="9"/>
      <c r="I347" s="9"/>
      <c r="J347" s="2"/>
      <c r="K347" s="25"/>
      <c r="L347" s="9"/>
      <c r="M347" s="9"/>
      <c r="N347" s="9"/>
      <c r="O347" s="9"/>
      <c r="P347" s="9"/>
      <c r="Q347" s="47"/>
    </row>
    <row r="348" spans="2:17" x14ac:dyDescent="0.25">
      <c r="B348" s="7"/>
      <c r="C348" s="7"/>
      <c r="D348" s="9"/>
      <c r="E348" s="8"/>
      <c r="F348" s="7"/>
      <c r="G348" s="9"/>
      <c r="H348" s="9"/>
      <c r="I348" s="9"/>
      <c r="J348" s="2"/>
      <c r="K348" s="25"/>
      <c r="L348" s="9"/>
      <c r="M348" s="9"/>
      <c r="N348" s="9"/>
      <c r="O348" s="9"/>
      <c r="P348" s="9"/>
      <c r="Q348" s="47"/>
    </row>
    <row r="349" spans="2:17" x14ac:dyDescent="0.25">
      <c r="B349" s="7"/>
      <c r="C349" s="7"/>
      <c r="D349" s="9"/>
      <c r="E349" s="8"/>
      <c r="F349" s="7"/>
      <c r="G349" s="9"/>
      <c r="H349" s="9"/>
      <c r="I349" s="9"/>
      <c r="J349" s="2"/>
      <c r="K349" s="25"/>
      <c r="L349" s="9"/>
      <c r="M349" s="9"/>
      <c r="N349" s="9"/>
      <c r="O349" s="9"/>
      <c r="P349" s="9"/>
      <c r="Q349" s="47"/>
    </row>
    <row r="350" spans="2:17" x14ac:dyDescent="0.25">
      <c r="B350" s="7"/>
      <c r="C350" s="7"/>
      <c r="D350" s="9"/>
      <c r="E350" s="8"/>
      <c r="F350" s="7"/>
      <c r="G350" s="9"/>
      <c r="H350" s="9"/>
      <c r="I350" s="9"/>
      <c r="J350" s="2"/>
      <c r="K350" s="25"/>
      <c r="L350" s="9"/>
      <c r="M350" s="9"/>
      <c r="N350" s="9"/>
      <c r="O350" s="9"/>
      <c r="P350" s="9"/>
      <c r="Q350" s="47"/>
    </row>
    <row r="351" spans="2:17" x14ac:dyDescent="0.25">
      <c r="B351" s="7"/>
      <c r="C351" s="7"/>
      <c r="D351" s="9"/>
      <c r="E351" s="8"/>
      <c r="F351" s="7"/>
      <c r="G351" s="9"/>
      <c r="H351" s="9"/>
      <c r="I351" s="9"/>
      <c r="J351" s="2"/>
      <c r="K351" s="25"/>
      <c r="L351" s="9"/>
      <c r="M351" s="9"/>
      <c r="N351" s="9"/>
      <c r="O351" s="9"/>
      <c r="P351" s="9"/>
      <c r="Q351" s="47"/>
    </row>
    <row r="352" spans="2:17" x14ac:dyDescent="0.25">
      <c r="B352" s="53"/>
      <c r="C352" s="54"/>
      <c r="D352" s="9"/>
      <c r="E352" s="8"/>
      <c r="F352" s="7"/>
      <c r="G352" s="9"/>
      <c r="H352" s="9"/>
      <c r="I352" s="9"/>
      <c r="J352" s="2"/>
      <c r="K352" s="25"/>
      <c r="L352" s="9"/>
      <c r="M352" s="9"/>
      <c r="N352" s="9"/>
      <c r="O352" s="9"/>
      <c r="P352" s="9"/>
      <c r="Q352" s="47"/>
    </row>
    <row r="353" spans="1:17" x14ac:dyDescent="0.25">
      <c r="A353" s="9"/>
      <c r="B353" s="7"/>
      <c r="C353" s="7"/>
      <c r="D353" s="9"/>
      <c r="E353" s="8"/>
      <c r="F353" s="7"/>
      <c r="G353" s="9"/>
      <c r="H353" s="9"/>
      <c r="I353" s="9"/>
      <c r="J353" s="2"/>
      <c r="K353" s="25"/>
      <c r="L353" s="9"/>
      <c r="M353" s="9"/>
      <c r="N353" s="9"/>
      <c r="O353" s="9"/>
      <c r="P353" s="9"/>
      <c r="Q353" s="47"/>
    </row>
    <row r="354" spans="1:17" x14ac:dyDescent="0.25">
      <c r="A354" s="9"/>
      <c r="B354" s="7"/>
      <c r="C354" s="7"/>
      <c r="D354" s="9"/>
      <c r="E354" s="8"/>
      <c r="F354" s="7"/>
      <c r="G354" s="9"/>
      <c r="H354" s="9"/>
      <c r="I354" s="9"/>
      <c r="J354" s="2"/>
      <c r="K354" s="25"/>
      <c r="L354" s="9"/>
      <c r="M354" s="9"/>
      <c r="N354" s="9"/>
      <c r="O354" s="9"/>
      <c r="P354" s="9"/>
      <c r="Q354" s="47"/>
    </row>
    <row r="355" spans="1:17" x14ac:dyDescent="0.25">
      <c r="A355" s="9"/>
      <c r="B355" s="9"/>
      <c r="C355" s="7"/>
      <c r="D355" s="9"/>
      <c r="E355" s="8"/>
      <c r="F355" s="7"/>
      <c r="G355" s="9"/>
      <c r="H355" s="9"/>
      <c r="I355" s="9"/>
      <c r="J355" s="2"/>
      <c r="K355" s="25"/>
      <c r="L355" s="9"/>
      <c r="M355" s="9"/>
      <c r="N355" s="9"/>
      <c r="O355" s="9"/>
      <c r="P355" s="9"/>
      <c r="Q355" s="47"/>
    </row>
    <row r="356" spans="1:17" x14ac:dyDescent="0.25">
      <c r="A356" s="9"/>
      <c r="B356" s="7"/>
      <c r="C356" s="7"/>
      <c r="D356" s="9"/>
      <c r="E356" s="8"/>
      <c r="F356" s="7"/>
      <c r="G356" s="9"/>
      <c r="H356" s="9"/>
      <c r="I356" s="9"/>
      <c r="J356" s="2"/>
      <c r="K356" s="25"/>
      <c r="L356" s="9"/>
      <c r="M356" s="9"/>
      <c r="N356" s="9"/>
      <c r="O356" s="9"/>
      <c r="P356" s="9"/>
      <c r="Q356" s="47"/>
    </row>
    <row r="357" spans="1:17" x14ac:dyDescent="0.25">
      <c r="A357" s="9"/>
      <c r="B357" s="9"/>
      <c r="C357" s="7"/>
      <c r="D357" s="9"/>
      <c r="E357" s="8"/>
      <c r="F357" s="7"/>
      <c r="G357" s="9"/>
      <c r="H357" s="9"/>
      <c r="I357" s="9"/>
      <c r="J357" s="2"/>
      <c r="K357" s="25"/>
      <c r="L357" s="9"/>
      <c r="M357" s="9"/>
      <c r="N357" s="9"/>
      <c r="O357" s="9"/>
      <c r="P357" s="9"/>
      <c r="Q357" s="47"/>
    </row>
    <row r="358" spans="1:17" ht="15.75" x14ac:dyDescent="0.25">
      <c r="A358" s="9"/>
      <c r="B358" s="7"/>
      <c r="C358" s="7"/>
      <c r="D358" s="9"/>
      <c r="E358" s="8"/>
      <c r="F358" s="7"/>
      <c r="G358" s="9"/>
      <c r="H358" s="9"/>
      <c r="I358" s="9"/>
      <c r="J358" s="2"/>
      <c r="K358" s="25"/>
      <c r="L358" s="9"/>
      <c r="M358" s="9"/>
      <c r="N358" s="9"/>
      <c r="O358" s="9"/>
      <c r="P358" s="9"/>
      <c r="Q358" s="55"/>
    </row>
    <row r="359" spans="1:17" ht="18.75" x14ac:dyDescent="0.3">
      <c r="A359" s="9"/>
      <c r="B359" s="9"/>
      <c r="C359" s="7"/>
      <c r="D359" s="9"/>
      <c r="E359" s="8"/>
      <c r="F359" s="7"/>
      <c r="G359" s="9"/>
      <c r="H359" s="9"/>
      <c r="I359" s="9"/>
      <c r="J359" s="9"/>
      <c r="K359" s="56"/>
      <c r="L359" s="9"/>
      <c r="M359" s="9"/>
      <c r="N359" s="9"/>
      <c r="O359" s="9"/>
      <c r="P359" s="9"/>
      <c r="Q359" s="9"/>
    </row>
    <row r="360" spans="1:17" x14ac:dyDescent="0.25">
      <c r="A360" s="9"/>
      <c r="B360" s="7"/>
      <c r="C360" s="7"/>
      <c r="D360" s="9"/>
      <c r="E360" s="8"/>
      <c r="F360" s="7"/>
      <c r="G360" s="9"/>
      <c r="H360" s="9"/>
      <c r="I360" s="9"/>
      <c r="J360" s="2"/>
      <c r="K360" s="25"/>
      <c r="L360" s="9"/>
      <c r="M360" s="9"/>
      <c r="N360" s="9"/>
      <c r="O360" s="25"/>
      <c r="P360" s="9"/>
      <c r="Q360" s="2"/>
    </row>
    <row r="361" spans="1:17" x14ac:dyDescent="0.25">
      <c r="A361" s="9"/>
      <c r="B361" s="9"/>
      <c r="C361" s="7"/>
      <c r="D361" s="8"/>
      <c r="E361" s="7"/>
      <c r="F361" s="7"/>
      <c r="G361" s="9"/>
      <c r="H361" s="9"/>
      <c r="I361" s="9"/>
      <c r="J361" s="9"/>
      <c r="K361" s="25"/>
      <c r="L361" s="9"/>
      <c r="M361" s="9"/>
      <c r="N361" s="9"/>
      <c r="O361" s="9"/>
      <c r="P361" s="9"/>
      <c r="Q361" s="2"/>
    </row>
    <row r="362" spans="1:17" x14ac:dyDescent="0.25">
      <c r="A362" s="9"/>
      <c r="B362" s="53"/>
      <c r="C362" s="54"/>
      <c r="D362" s="9"/>
      <c r="E362" s="8"/>
      <c r="F362" s="7"/>
      <c r="G362" s="9"/>
      <c r="H362" s="9"/>
      <c r="I362" s="9"/>
      <c r="J362" s="9"/>
      <c r="K362" s="25"/>
      <c r="L362" s="9"/>
      <c r="M362" s="9"/>
      <c r="N362" s="9"/>
      <c r="O362" s="9"/>
      <c r="P362" s="9"/>
      <c r="Q362" s="9"/>
    </row>
    <row r="363" spans="1:17" x14ac:dyDescent="0.25">
      <c r="A363" s="9"/>
      <c r="B363" s="9"/>
      <c r="C363" s="7"/>
      <c r="D363" s="9"/>
      <c r="E363" s="8"/>
      <c r="F363" s="7"/>
      <c r="G363" s="9"/>
      <c r="H363" s="9"/>
      <c r="I363" s="9"/>
      <c r="J363" s="9"/>
      <c r="K363" s="25"/>
      <c r="L363" s="9"/>
      <c r="M363" s="9"/>
      <c r="N363" s="9"/>
      <c r="O363" s="9"/>
      <c r="P363" s="9"/>
      <c r="Q363" s="9"/>
    </row>
    <row r="364" spans="1:17" x14ac:dyDescent="0.25">
      <c r="A364" s="9"/>
      <c r="B364" s="7"/>
      <c r="C364" s="7"/>
      <c r="D364" s="9"/>
      <c r="E364" s="8"/>
      <c r="F364" s="7"/>
      <c r="G364" s="9"/>
      <c r="H364" s="9"/>
      <c r="I364" s="9"/>
      <c r="J364" s="9"/>
      <c r="K364" s="25"/>
      <c r="L364" s="9"/>
      <c r="M364" s="9"/>
      <c r="N364" s="9"/>
      <c r="O364" s="9"/>
      <c r="P364" s="9"/>
      <c r="Q364" s="9"/>
    </row>
    <row r="365" spans="1:17" x14ac:dyDescent="0.25">
      <c r="A365" s="9"/>
      <c r="B365" s="9"/>
      <c r="C365" s="7"/>
      <c r="D365" s="7"/>
      <c r="E365" s="7"/>
      <c r="F365" s="7"/>
      <c r="G365" s="9"/>
      <c r="H365" s="9"/>
      <c r="I365" s="9"/>
      <c r="J365" s="9"/>
      <c r="K365" s="25"/>
      <c r="L365" s="9"/>
      <c r="M365" s="9"/>
      <c r="N365" s="9"/>
      <c r="O365" s="9"/>
      <c r="P365" s="9"/>
      <c r="Q365" s="9"/>
    </row>
    <row r="366" spans="1:17" x14ac:dyDescent="0.25">
      <c r="A366" s="9"/>
      <c r="B366" s="9"/>
      <c r="C366" s="7"/>
      <c r="D366" s="7"/>
      <c r="E366" s="7"/>
      <c r="F366" s="7"/>
      <c r="G366" s="9"/>
      <c r="H366" s="9"/>
      <c r="I366" s="9"/>
      <c r="J366" s="9"/>
      <c r="K366" s="25"/>
      <c r="L366" s="9"/>
      <c r="M366" s="9"/>
      <c r="N366" s="9"/>
      <c r="O366" s="9"/>
      <c r="P366" s="9"/>
      <c r="Q366" s="9"/>
    </row>
    <row r="367" spans="1:17" x14ac:dyDescent="0.25">
      <c r="A367" s="9"/>
      <c r="B367" s="9"/>
      <c r="C367" s="7"/>
      <c r="D367" s="7"/>
      <c r="E367" s="7"/>
      <c r="F367" s="7"/>
      <c r="G367" s="9"/>
      <c r="H367" s="9"/>
      <c r="I367" s="9"/>
      <c r="J367" s="9"/>
      <c r="K367" s="25"/>
      <c r="L367" s="9"/>
      <c r="M367" s="9"/>
      <c r="N367" s="9"/>
      <c r="O367" s="9"/>
      <c r="P367" s="9"/>
      <c r="Q367" s="9"/>
    </row>
    <row r="368" spans="1:17" s="9" customFormat="1" ht="12.75" x14ac:dyDescent="0.2">
      <c r="C368" s="7"/>
      <c r="D368" s="7"/>
      <c r="E368" s="7"/>
      <c r="F368" s="7"/>
      <c r="G368" s="7"/>
      <c r="I368" s="25"/>
      <c r="J368" s="25"/>
      <c r="K368" s="25"/>
      <c r="L368" s="25"/>
      <c r="M368" s="25"/>
      <c r="N368" s="25"/>
    </row>
  </sheetData>
  <protectedRanges>
    <protectedRange sqref="F65 F73 F81 D65:D73 D75:D87 D89:D90 D273" name="Диапазон3_4_1_1"/>
    <protectedRange sqref="E65 E73 E81 C89:C90 C65:C73 C75:C87 C273" name="Диапазон3_4_1_2"/>
    <protectedRange sqref="F45 D45" name="Диапазон3_5_1"/>
    <protectedRange sqref="F60 F63" name="Диапазон3_4_1_1_1"/>
    <protectedRange sqref="E60 E63" name="Диапазон3_4_1_2_1"/>
    <protectedRange sqref="F66" name="Диапазон3_4_1_1_2"/>
    <protectedRange sqref="E66" name="Диапазон3_4_1_2_2"/>
    <protectedRange sqref="E67:F70" name="Диапазон3_4_1_1_3"/>
    <protectedRange sqref="F71:F72" name="Диапазон3_4_4_2"/>
    <protectedRange sqref="E71:E72" name="Диапазон3_4_4_1_1_1"/>
    <protectedRange sqref="F74 D74" name="Диапазон3_4_4_3"/>
    <protectedRange sqref="E74 C74" name="Диапазон3_4_4_1_2"/>
    <protectedRange sqref="F75:F76" name="Диапазон3_4_4_3_1"/>
    <protectedRange sqref="E75:E76" name="Диапазон3_4_4_1_2_1"/>
    <protectedRange sqref="F77" name="Диапазон3_4_4_4"/>
    <protectedRange sqref="E77" name="Диапазон3_4_4_1_3"/>
    <protectedRange sqref="F78" name="Диапазон3_4_4_5"/>
    <protectedRange sqref="E78" name="Диапазон3_4_4_1_4"/>
    <protectedRange sqref="F80" name="Диапазон3_4_4_6"/>
    <protectedRange sqref="E80" name="Диапазон3_4_4_1_5"/>
    <protectedRange sqref="F82" name="Диапазон3_4_4_10"/>
    <protectedRange sqref="E82" name="Диапазон3_4_4_1_4_1"/>
    <protectedRange sqref="F200" name="Диапазон4_11"/>
    <protectedRange sqref="F193" name="Диапазон4_11_4"/>
    <protectedRange sqref="F205:F206" name="Диапазон4_11_1"/>
    <protectedRange sqref="F293" name="Диапазон6_9_1_4"/>
    <protectedRange sqref="F294" name="Диапазон6_9_1_4_2"/>
    <protectedRange sqref="F303" name="Диапазон6_9_1_2"/>
    <protectedRange sqref="F311:F312" name="Диапазон6_6_9"/>
    <protectedRange sqref="F313:F315" name="Диапазон6_6_9_1"/>
    <protectedRange sqref="E308:F309" name="Диапазон6_9_1_1_1_1"/>
    <protectedRange sqref="F305:F306" name="Диапазон6_6_9_1_1_1"/>
    <protectedRange sqref="F229" name="Диапазон4_11_4_1"/>
    <protectedRange sqref="E97:E98" name="Диапазон3_4_4_1_1_2"/>
  </protectedRanges>
  <autoFilter ref="B5:P320" xr:uid="{00000000-0001-0000-0800-000000000000}"/>
  <mergeCells count="19">
    <mergeCell ref="M3:M4"/>
    <mergeCell ref="N3:N4"/>
    <mergeCell ref="O3:O4"/>
    <mergeCell ref="P3:P4"/>
    <mergeCell ref="N2:P2"/>
    <mergeCell ref="B332:C332"/>
    <mergeCell ref="B334:C334"/>
    <mergeCell ref="B336:C336"/>
    <mergeCell ref="K3:K4"/>
    <mergeCell ref="L3:L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allowBlank="1" showInputMessage="1" showErrorMessage="1" prompt="Введите краткую хар-ку на рус.языке" sqref="F41 F79 F83 F87" xr:uid="{98E3228F-CF29-4F9D-8A0C-537C764A8A8D}"/>
    <dataValidation allowBlank="1" showInputMessage="1" showErrorMessage="1" prompt="Введите краткую хар-ку на гос.языке" sqref="E38 E45 C45 E79 E83 E87 E33:E35 E269" xr:uid="{618AA875-CDBA-4524-897B-421B59CE61F7}"/>
  </dataValidations>
  <printOptions horizontalCentered="1"/>
  <pageMargins left="0.19685039370078741" right="0" top="0.35433070866141736" bottom="0.35433070866141736" header="0.19685039370078741" footer="0.19685039370078741"/>
  <pageSetup paperSize="9" scale="30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Кульмагамбетова Ботагуз Тыныштыковна</dc:creator>
  <cp:lastModifiedBy>Кульмагамбетова Ботагуз Тыныштыковна</cp:lastModifiedBy>
  <dcterms:created xsi:type="dcterms:W3CDTF">2025-11-10T06:27:32Z</dcterms:created>
  <dcterms:modified xsi:type="dcterms:W3CDTF">2025-11-10T06:39:01Z</dcterms:modified>
</cp:coreProperties>
</file>