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сайт NPCK\"/>
    </mc:Choice>
  </mc:AlternateContent>
  <xr:revisionPtr revIDLastSave="0" documentId="8_{5EABA2BF-5E13-408F-9004-FA9E5C8B9143}" xr6:coauthVersionLast="47" xr6:coauthVersionMax="47" xr10:uidLastSave="{00000000-0000-0000-0000-000000000000}"/>
  <bookViews>
    <workbookView xWindow="-120" yWindow="-120" windowWidth="29040" windowHeight="15720" xr2:uid="{C0F259B5-4B2D-4F9D-9DE8-8DCE4F8D0BCE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'[1]БНПЗ (1)'!#REF!</definedName>
    <definedName name="_889_Катушка_условная">'[1]БНПЗ (1)'!#REF!</definedName>
    <definedName name="_cle1" hidden="1">#REF!</definedName>
    <definedName name="_Fill" hidden="1">#REF!</definedName>
    <definedName name="_Key1" hidden="1">#REF!</definedName>
    <definedName name="_kv1">[2]виза!$D$7</definedName>
    <definedName name="_kv2">[2]виза!$E$7</definedName>
    <definedName name="_kv3">[2]виза!$F$7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'[3]Параметры 1'!$B$3</definedName>
    <definedName name="_xlnm._FilterDatabase" localSheetId="0" hidden="1">'План закупок ТРУ'!$B$5:$P$274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'[4]ремонт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'[5]исп.см.'!#REF!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'[6]Таб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[7]XLR_NoRangeSheet!$B$7</definedName>
    <definedName name="sqdepartments_NAME_DEPARTMENT" hidden="1">[8]XLR_NoRangeSheet!$B$7</definedName>
    <definedName name="sqfuncbdg_BDGNAME" hidden="1">[9]XLR_NoRangeSheet!$B$8</definedName>
    <definedName name="sqparameters_NAME_BUDG" hidden="1">[10]XLR_NoRangeSheet!$B$7</definedName>
    <definedName name="sqparameters_REPDATE" hidden="1">[10]XLR_NoRangeSheet!$C$7</definedName>
    <definedName name="sqparametres_NAME_BUDG" hidden="1">[8]XLR_NoRangeSheet!$B$8</definedName>
    <definedName name="sqparametres_REPDATE" hidden="1">[8]XLR_NoRangeSheet!$C$8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[7]XLR_NoRangeSheet!$G$6</definedName>
    <definedName name="XLRPARAMS_p_id_budgetstage" hidden="1">[10]XLR_NoRangeSheet!$B$6</definedName>
    <definedName name="XLRPARAMS_p_id_doc" hidden="1">[7]XLR_NoRangeSheet!$C$6</definedName>
    <definedName name="XLRPARAMS_p_id_fb" hidden="1">[7]XLR_NoRangeSheet!$F$6</definedName>
    <definedName name="XLRPARAMS_p_show_cfa" hidden="1">[11]XLR_NoRangeSheet!$K$6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'[12]Таб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'[6]Таб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'[13]ремонт 25'!$B$10</definedName>
    <definedName name="движение" hidden="1">{#N/A,#N/A,FALSE,"Лист15"}</definedName>
    <definedName name="длор" hidden="1">{#N/A,#N/A,FALSE,"Лист15"}</definedName>
    <definedName name="долл">'[6]Таб 4 к Прил 1 Свифт'!$F$38</definedName>
    <definedName name="евро">'[6]Таб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'[14]Параметры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[15]КАТО!$A$2:$A$17367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'[6]Таб 1 к Прил 10 з-плата1'!$C$235</definedName>
    <definedName name="ммммм" hidden="1">{#N/A,#N/A,FALSE,"Лист15"}</definedName>
    <definedName name="МРП">'[14]Параметры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'[14]Параметры 1'!$B$8</definedName>
    <definedName name="нерезид">'[14]Параметры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OFFSET([16]ОПГЗ!$A$1,MATCH('[16]План ГЗ'!$P1,[16]ОПГЗ!$A$1:$A$65536,0)-1,1,COUNTIF([16]ОПГЗ!$A$1:$A$65536,'[16]План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'[14]Параметры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'[17]Способ закупки'!$A$1:$A$14</definedName>
    <definedName name="Способ">'[1]Способ закупки'!$A$1:$A$14</definedName>
    <definedName name="сраыв" hidden="1">{#N/A,#N/A,FALSE,"Лист15"}</definedName>
    <definedName name="старшспец">'[12]Таб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[18]Лист3!$A$1:$C$110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'[19]Способ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[18]Лист2!$A$1:$C$107</definedName>
    <definedName name="янв25">[20]Январь2025!$A$1:$C$107</definedName>
    <definedName name="январь25">[21]янв!$A$1:$C$17</definedName>
    <definedName name="ячс" hidden="1">{#N/A,#N/A,FALSE,"Лист15"}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9" i="1" l="1"/>
  <c r="K268" i="1"/>
  <c r="K267" i="1"/>
  <c r="K266" i="1"/>
  <c r="J265" i="1"/>
  <c r="K265" i="1" s="1"/>
  <c r="J264" i="1"/>
  <c r="K264" i="1" s="1"/>
  <c r="J263" i="1"/>
  <c r="K263" i="1" s="1"/>
  <c r="J262" i="1"/>
  <c r="K262" i="1" s="1"/>
  <c r="K261" i="1"/>
  <c r="K260" i="1"/>
  <c r="K259" i="1"/>
  <c r="J258" i="1"/>
  <c r="K258" i="1" s="1"/>
  <c r="K257" i="1"/>
  <c r="K256" i="1"/>
  <c r="K255" i="1"/>
  <c r="K254" i="1"/>
  <c r="J253" i="1"/>
  <c r="K253" i="1" s="1"/>
  <c r="K252" i="1"/>
  <c r="K251" i="1"/>
  <c r="K250" i="1"/>
  <c r="K249" i="1"/>
  <c r="K248" i="1"/>
  <c r="J247" i="1"/>
  <c r="K247" i="1" s="1"/>
  <c r="K246" i="1"/>
  <c r="J245" i="1"/>
  <c r="K245" i="1" s="1"/>
  <c r="J244" i="1"/>
  <c r="K244" i="1" s="1"/>
  <c r="J243" i="1"/>
  <c r="K243" i="1" s="1"/>
  <c r="K242" i="1"/>
  <c r="K241" i="1"/>
  <c r="K240" i="1"/>
  <c r="K239" i="1"/>
  <c r="K238" i="1"/>
  <c r="K237" i="1"/>
  <c r="I236" i="1"/>
  <c r="K236" i="1" s="1"/>
  <c r="K235" i="1"/>
  <c r="K234" i="1"/>
  <c r="K233" i="1"/>
  <c r="K232" i="1"/>
  <c r="K231" i="1"/>
  <c r="K230" i="1"/>
  <c r="K229" i="1"/>
  <c r="K228" i="1"/>
  <c r="K227" i="1"/>
  <c r="J226" i="1"/>
  <c r="K226" i="1" s="1"/>
  <c r="J225" i="1"/>
  <c r="K225" i="1" s="1"/>
  <c r="K224" i="1"/>
  <c r="K223" i="1"/>
  <c r="K222" i="1"/>
  <c r="K221" i="1"/>
  <c r="K220" i="1"/>
  <c r="J219" i="1"/>
  <c r="K219" i="1" s="1"/>
  <c r="K218" i="1"/>
  <c r="K217" i="1"/>
  <c r="K216" i="1"/>
  <c r="J215" i="1"/>
  <c r="K215" i="1" s="1"/>
  <c r="J214" i="1"/>
  <c r="K214" i="1" s="1"/>
  <c r="J213" i="1"/>
  <c r="K213" i="1" s="1"/>
  <c r="J212" i="1"/>
  <c r="K212" i="1" s="1"/>
  <c r="K211" i="1"/>
  <c r="J210" i="1"/>
  <c r="K210" i="1" s="1"/>
  <c r="J209" i="1"/>
  <c r="K209" i="1" s="1"/>
  <c r="J208" i="1"/>
  <c r="K208" i="1" s="1"/>
  <c r="K207" i="1"/>
  <c r="J206" i="1"/>
  <c r="K206" i="1" s="1"/>
  <c r="K205" i="1"/>
  <c r="J204" i="1"/>
  <c r="K204" i="1" s="1"/>
  <c r="J203" i="1"/>
  <c r="K203" i="1" s="1"/>
  <c r="K202" i="1"/>
  <c r="K201" i="1"/>
  <c r="J200" i="1"/>
  <c r="K200" i="1" s="1"/>
  <c r="J199" i="1"/>
  <c r="K199" i="1" s="1"/>
  <c r="J198" i="1"/>
  <c r="K198" i="1" s="1"/>
  <c r="J197" i="1"/>
  <c r="K197" i="1" s="1"/>
  <c r="J196" i="1"/>
  <c r="K196" i="1" s="1"/>
  <c r="K195" i="1"/>
  <c r="J194" i="1"/>
  <c r="K194" i="1" s="1"/>
  <c r="J193" i="1"/>
  <c r="K193" i="1" s="1"/>
  <c r="K192" i="1"/>
  <c r="K191" i="1"/>
  <c r="J190" i="1"/>
  <c r="K190" i="1" s="1"/>
  <c r="K189" i="1"/>
  <c r="K188" i="1"/>
  <c r="K187" i="1"/>
  <c r="K186" i="1"/>
  <c r="J185" i="1"/>
  <c r="K185" i="1" s="1"/>
  <c r="K184" i="1"/>
  <c r="K183" i="1"/>
  <c r="J182" i="1"/>
  <c r="K182" i="1" s="1"/>
  <c r="K181" i="1"/>
  <c r="K180" i="1"/>
  <c r="K179" i="1"/>
  <c r="J178" i="1"/>
  <c r="K178" i="1" s="1"/>
  <c r="K177" i="1"/>
  <c r="K176" i="1"/>
  <c r="J175" i="1"/>
  <c r="K175" i="1" s="1"/>
  <c r="K174" i="1"/>
  <c r="K173" i="1"/>
  <c r="K172" i="1"/>
  <c r="K171" i="1"/>
  <c r="K170" i="1"/>
  <c r="J169" i="1"/>
  <c r="K169" i="1" s="1"/>
  <c r="J168" i="1"/>
  <c r="K168" i="1" s="1"/>
  <c r="K167" i="1"/>
  <c r="J166" i="1"/>
  <c r="K166" i="1" s="1"/>
  <c r="J165" i="1"/>
  <c r="K165" i="1" s="1"/>
  <c r="J164" i="1"/>
  <c r="K164" i="1" s="1"/>
  <c r="K163" i="1"/>
  <c r="J162" i="1"/>
  <c r="K162" i="1" s="1"/>
  <c r="K161" i="1"/>
  <c r="K160" i="1"/>
  <c r="K159" i="1"/>
  <c r="K158" i="1"/>
  <c r="J157" i="1"/>
  <c r="K157" i="1" s="1"/>
  <c r="J156" i="1"/>
  <c r="K156" i="1" s="1"/>
  <c r="K155" i="1"/>
  <c r="K154" i="1"/>
  <c r="K153" i="1"/>
  <c r="J152" i="1"/>
  <c r="K152" i="1" s="1"/>
  <c r="J151" i="1"/>
  <c r="K151" i="1" s="1"/>
  <c r="J150" i="1"/>
  <c r="K150" i="1" s="1"/>
  <c r="K149" i="1"/>
  <c r="J148" i="1"/>
  <c r="K148" i="1" s="1"/>
  <c r="J147" i="1"/>
  <c r="K147" i="1" s="1"/>
  <c r="J146" i="1"/>
  <c r="K146" i="1" s="1"/>
  <c r="K145" i="1"/>
  <c r="J144" i="1"/>
  <c r="K144" i="1" s="1"/>
  <c r="K143" i="1"/>
  <c r="K142" i="1"/>
  <c r="K141" i="1"/>
  <c r="J140" i="1"/>
  <c r="K140" i="1" s="1"/>
  <c r="K139" i="1"/>
  <c r="K138" i="1"/>
  <c r="K137" i="1"/>
  <c r="K136" i="1"/>
  <c r="K135" i="1"/>
  <c r="J134" i="1"/>
  <c r="K134" i="1" s="1"/>
  <c r="K133" i="1"/>
  <c r="K132" i="1"/>
  <c r="J131" i="1"/>
  <c r="K131" i="1" s="1"/>
  <c r="K130" i="1"/>
  <c r="K129" i="1"/>
  <c r="J128" i="1"/>
  <c r="K128" i="1" s="1"/>
  <c r="J127" i="1"/>
  <c r="K127" i="1" s="1"/>
  <c r="K126" i="1"/>
  <c r="K125" i="1"/>
  <c r="J124" i="1"/>
  <c r="K124" i="1" s="1"/>
  <c r="J122" i="1"/>
  <c r="K122" i="1" s="1"/>
  <c r="J121" i="1"/>
  <c r="K121" i="1" s="1"/>
  <c r="J120" i="1"/>
  <c r="K120" i="1" s="1"/>
  <c r="J119" i="1"/>
  <c r="K119" i="1" s="1"/>
  <c r="K118" i="1"/>
  <c r="J116" i="1"/>
  <c r="K116" i="1" s="1"/>
  <c r="J115" i="1"/>
  <c r="K115" i="1" s="1"/>
  <c r="K114" i="1"/>
  <c r="K113" i="1"/>
  <c r="J112" i="1"/>
  <c r="K112" i="1" s="1"/>
  <c r="K111" i="1"/>
  <c r="J110" i="1"/>
  <c r="K110" i="1" s="1"/>
  <c r="K109" i="1"/>
  <c r="K108" i="1"/>
  <c r="J107" i="1"/>
  <c r="K107" i="1" s="1"/>
  <c r="K106" i="1"/>
  <c r="K105" i="1"/>
  <c r="K104" i="1"/>
  <c r="R103" i="1"/>
  <c r="K103" i="1"/>
  <c r="J102" i="1"/>
  <c r="K102" i="1" s="1"/>
  <c r="K101" i="1"/>
  <c r="K100" i="1"/>
  <c r="K99" i="1"/>
  <c r="K98" i="1"/>
  <c r="K97" i="1"/>
  <c r="K96" i="1"/>
  <c r="K95" i="1"/>
  <c r="K94" i="1"/>
  <c r="K93" i="1"/>
  <c r="K92" i="1"/>
  <c r="J91" i="1"/>
  <c r="K91" i="1" s="1"/>
  <c r="K90" i="1"/>
  <c r="K89" i="1"/>
  <c r="K88" i="1"/>
  <c r="K87" i="1"/>
  <c r="J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J73" i="1"/>
  <c r="K73" i="1" s="1"/>
  <c r="K72" i="1"/>
  <c r="K71" i="1"/>
  <c r="K70" i="1"/>
  <c r="J69" i="1"/>
  <c r="K69" i="1" s="1"/>
  <c r="J68" i="1"/>
  <c r="K68" i="1" s="1"/>
  <c r="J67" i="1"/>
  <c r="K67" i="1" s="1"/>
  <c r="K66" i="1"/>
  <c r="J65" i="1"/>
  <c r="K65" i="1" s="1"/>
  <c r="K64" i="1"/>
  <c r="K63" i="1"/>
  <c r="K62" i="1"/>
  <c r="K61" i="1"/>
  <c r="J60" i="1"/>
  <c r="K60" i="1" s="1"/>
  <c r="K59" i="1"/>
  <c r="K58" i="1"/>
  <c r="K57" i="1"/>
  <c r="K56" i="1"/>
  <c r="J55" i="1"/>
  <c r="K55" i="1" s="1"/>
  <c r="K54" i="1"/>
  <c r="K53" i="1"/>
  <c r="K52" i="1"/>
  <c r="K51" i="1"/>
  <c r="K50" i="1"/>
  <c r="K49" i="1"/>
  <c r="K48" i="1"/>
  <c r="J47" i="1"/>
  <c r="I47" i="1"/>
  <c r="J46" i="1"/>
  <c r="K46" i="1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20" i="1"/>
  <c r="K20" i="1" s="1"/>
  <c r="J19" i="1"/>
  <c r="K19" i="1" s="1"/>
  <c r="J18" i="1"/>
  <c r="K18" i="1" s="1"/>
  <c r="K17" i="1"/>
  <c r="J16" i="1"/>
  <c r="K16" i="1" s="1"/>
  <c r="K15" i="1"/>
  <c r="K14" i="1"/>
  <c r="J13" i="1"/>
  <c r="K13" i="1" s="1"/>
  <c r="J12" i="1"/>
  <c r="K12" i="1" s="1"/>
  <c r="K11" i="1"/>
  <c r="K10" i="1"/>
  <c r="K9" i="1"/>
  <c r="K8" i="1"/>
  <c r="J7" i="1"/>
  <c r="K7" i="1" s="1"/>
  <c r="I6" i="1"/>
  <c r="K6" i="1" s="1"/>
  <c r="K47" i="1" l="1"/>
  <c r="K270" i="1" s="1"/>
</calcChain>
</file>

<file path=xl/sharedStrings.xml><?xml version="1.0" encoding="utf-8"?>
<sst xmlns="http://schemas.openxmlformats.org/spreadsheetml/2006/main" count="2168" uniqueCount="767">
  <si>
    <t>План закупок товаров, работ и услуг на 2025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</si>
  <si>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</si>
  <si>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11.09.2025 года №10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</si>
  <si>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</si>
  <si>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</si>
  <si>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</si>
  <si>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</si>
  <si>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</si>
  <si>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</si>
  <si>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</si>
  <si>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</si>
  <si>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</si>
  <si>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</si>
  <si>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</si>
  <si>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</si>
  <si>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</si>
  <si>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</si>
  <si>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</si>
  <si>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</si>
  <si>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</si>
  <si>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</si>
  <si>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</si>
  <si>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</si>
  <si>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</si>
  <si>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</si>
  <si>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HP LaserJet Pro M428fdw КФҚ арналған картридж</t>
  </si>
  <si>
    <t>Картридж для МФУ HP LaserJet Pro M428fdw</t>
  </si>
  <si>
    <t>1 квартал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</si>
  <si>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</si>
  <si>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</si>
  <si>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</si>
  <si>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</si>
  <si>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</si>
  <si>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</si>
  <si>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</si>
  <si>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</si>
  <si>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 (W2130X)</t>
  </si>
  <si>
    <t>Картридж черый (W2130X) для МФУ HP Color LaserJet Enterprise 5800dn</t>
  </si>
  <si>
    <t>HP Color LaserJet Enterprise 5800dn КФҚ арналған көк картридж (W2131X)</t>
  </si>
  <si>
    <t>Картридж голубой (W2131X) для МФУ HP Color LaserJet Enterprise 5800dn</t>
  </si>
  <si>
    <t>HP Color LaserJet Enterprise 5800dn КФҚ арналған сары картридж (W2132X)</t>
  </si>
  <si>
    <t>Картридж желтый (W2132X) для МФУ HP Color LaserJet Enterprise 5800dn</t>
  </si>
  <si>
    <t>HP Color LaserJet Enterprise 5800dn КФҚ арналған күлгін картридж (W2133X)</t>
  </si>
  <si>
    <t>Картридж пурпурный (W2133X) для МФУ HP Color LaserJet Enterprise 5800dn</t>
  </si>
  <si>
    <t>HP LaserJet Pro M426fdw КФҚ арналған қара картридж</t>
  </si>
  <si>
    <t>Картридж черный для МФУ HP LaserJet Pro M426fdw</t>
  </si>
  <si>
    <t>Xerox VersaLink B7025D КФҚ арналған қара картридж</t>
  </si>
  <si>
    <t>Картридж чёрный для МФУ Xerox VersaLink B7025D</t>
  </si>
  <si>
    <t>Фотобарабан</t>
  </si>
  <si>
    <t>Xerox VersaLink_B7025 КҚҚ үшін фотобарабан (түпнұсқа)</t>
  </si>
  <si>
    <t>Фотобарабан (оригинал) для МФУ Xerox VersaLink_B7025</t>
  </si>
  <si>
    <t>А3 форматындағы КҚҚ-ға арналған тонер-картридж</t>
  </si>
  <si>
    <t>Тонер-картридж для МФУ формата А3</t>
  </si>
  <si>
    <t>2 квартал</t>
  </si>
  <si>
    <t>Барабан</t>
  </si>
  <si>
    <t>А3 форматындағы КҚҚ-ға арналған барабан блогы</t>
  </si>
  <si>
    <t>Блок барабана для МФУ формата А3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</si>
  <si>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</si>
  <si>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</si>
  <si>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</si>
  <si>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</si>
  <si>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бухта</t>
  </si>
  <si>
    <t>UTP Cat 6, RJ-45, 10 м кабелі</t>
  </si>
  <si>
    <t>Кабель UTP Cat 6, RJ-45, 10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</si>
  <si>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</si>
  <si>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</si>
  <si>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</si>
  <si>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</si>
  <si>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15 м кабелі</t>
  </si>
  <si>
    <t>Кабель UTP Cat 6, RJ-45, 15 м</t>
  </si>
  <si>
    <t>Коннектор</t>
  </si>
  <si>
    <t>RJ-45 CAT6 8P8C қосқышы</t>
  </si>
  <si>
    <t>Разъем RJ-45 CAT6 8P8C</t>
  </si>
  <si>
    <t>Прямое заключение договора</t>
  </si>
  <si>
    <t>40х16 Кабель-канал</t>
  </si>
  <si>
    <t>Кабель-канал 40х16</t>
  </si>
  <si>
    <t>Метр</t>
  </si>
  <si>
    <t>100х60 Кабель-канал</t>
  </si>
  <si>
    <t>Кабель-канал 100х60</t>
  </si>
  <si>
    <t>Қамыт (тұтастырғыш)</t>
  </si>
  <si>
    <t>Хомут (стяжка)</t>
  </si>
  <si>
    <t xml:space="preserve">1 типті кабельді қамыт </t>
  </si>
  <si>
    <t>Хомут кабельный тип 1</t>
  </si>
  <si>
    <t>Упаковка</t>
  </si>
  <si>
    <t xml:space="preserve">2 типті кабельді қамыт </t>
  </si>
  <si>
    <t>Хомут кабельный тип 2</t>
  </si>
  <si>
    <t xml:space="preserve">3 типті кабельді қамыт </t>
  </si>
  <si>
    <t>Хомут кабельный тип 3</t>
  </si>
  <si>
    <t>Ұзартқыш</t>
  </si>
  <si>
    <t>Удлинитель</t>
  </si>
  <si>
    <t>Желілік сүзгіш</t>
  </si>
  <si>
    <t>Сетевой фильтр</t>
  </si>
  <si>
    <t>Батарейка</t>
  </si>
  <si>
    <t>9V батареялары</t>
  </si>
  <si>
    <t>Батарейки 9V</t>
  </si>
  <si>
    <t>АА батареялары (1,5В)</t>
  </si>
  <si>
    <t xml:space="preserve">Батарейки АА (1,5В) </t>
  </si>
  <si>
    <t>ААА батареялары (1,5В)</t>
  </si>
  <si>
    <t xml:space="preserve">Батарейки ААА (1,5В) </t>
  </si>
  <si>
    <t>Жабысқақ таспа</t>
  </si>
  <si>
    <t>Лента липкая</t>
  </si>
  <si>
    <t>Изолента</t>
  </si>
  <si>
    <t>Флюс</t>
  </si>
  <si>
    <t>Шприцтегі канифоль (тұтқыр)</t>
  </si>
  <si>
    <t>Канифоль в шприце (вязкая)</t>
  </si>
  <si>
    <t>Майлық</t>
  </si>
  <si>
    <t>Салфетка</t>
  </si>
  <si>
    <t>Кеңселік техникаға арналған ылғалды майлықтар (100 дана)</t>
  </si>
  <si>
    <t>Салфетки влажные для офисной техники (100 шт)</t>
  </si>
  <si>
    <t>Жұмсақ құрғақ тықыр майлықтар (40 дана)</t>
  </si>
  <si>
    <t>Салфетки мягкие сухие безворсовые (40 шт)</t>
  </si>
  <si>
    <t>Құрғақ тықыр майлықтар (280 дана)</t>
  </si>
  <si>
    <t>Салфетки сухие без ворса (280 шт)</t>
  </si>
  <si>
    <t>Тозаңдатқыш</t>
  </si>
  <si>
    <t>Распылитель</t>
  </si>
  <si>
    <t>Сығылған ауа-пневмотазартқыш 400 мл.</t>
  </si>
  <si>
    <t>Сжатый воздух-пневмоочиститель 400 мл.</t>
  </si>
  <si>
    <t>Тазарту құралы</t>
  </si>
  <si>
    <t>Средство чистящее</t>
  </si>
  <si>
    <t>Резеңкелік беттерді тазалауға және қалпына келтіруге арналған құрал</t>
  </si>
  <si>
    <t>Средство для очистки и восстановления резиновых поверхностей</t>
  </si>
  <si>
    <t>Пластикті беттерді тазалауға арналған құрал</t>
  </si>
  <si>
    <t xml:space="preserve">Средство для очистки пластиковых поверхностей </t>
  </si>
  <si>
    <t>Желім</t>
  </si>
  <si>
    <t>Клей</t>
  </si>
  <si>
    <t>Супер желім</t>
  </si>
  <si>
    <t>Суперклей</t>
  </si>
  <si>
    <t>Термопаста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</si>
  <si>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</si>
  <si>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</si>
  <si>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</si>
  <si>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</si>
  <si>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</si>
  <si>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</si>
  <si>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</si>
  <si>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</si>
  <si>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</si>
  <si>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</si>
  <si>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</si>
  <si>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</si>
  <si>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</si>
  <si>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</si>
  <si>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</si>
  <si>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</si>
  <si>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</si>
  <si>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</si>
  <si>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</si>
  <si>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</si>
  <si>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</si>
  <si>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</si>
  <si>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</si>
  <si>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</si>
  <si>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</si>
  <si>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</si>
  <si>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</si>
  <si>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</si>
  <si>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</si>
  <si>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</si>
  <si>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</si>
  <si>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</si>
  <si>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</si>
  <si>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</si>
  <si>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</si>
  <si>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</si>
  <si>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Қарындаш</t>
  </si>
  <si>
    <t>Карандаш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</si>
  <si>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</si>
  <si>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</si>
  <si>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</si>
  <si>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</si>
  <si>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</si>
  <si>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</si>
  <si>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</si>
  <si>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</si>
  <si>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</si>
  <si>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</si>
  <si>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</si>
  <si>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</si>
  <si>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</si>
  <si>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</si>
  <si>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</si>
  <si>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</si>
  <si>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Сақиналы папка</t>
  </si>
  <si>
    <t>Папка с кольцами</t>
  </si>
  <si>
    <t>5 см тіркеуші</t>
  </si>
  <si>
    <t>Регистратор 5 см</t>
  </si>
  <si>
    <t>Пластикалық байланыстырғыш</t>
  </si>
  <si>
    <t>Скоросшиватель пластиковый</t>
  </si>
  <si>
    <t>Логотипі бар жүгіртпе  папка  ("ҚР ҰБ ҰТК" АҚ)</t>
  </si>
  <si>
    <t>Папка-бегунок с логотипом (АО "НПК НБРК")</t>
  </si>
  <si>
    <t>Қағаз</t>
  </si>
  <si>
    <t>Бумага</t>
  </si>
  <si>
    <t>Жабысқақ қабаты бар белгілеуге арналған қағаз 76*125</t>
  </si>
  <si>
    <t>Бумага для заметок с липким слоем 76*125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</si>
  <si>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</si>
  <si>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</si>
  <si>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</si>
  <si>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</si>
  <si>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</si>
  <si>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</si>
  <si>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</si>
  <si>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</si>
  <si>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Қыстырғыш</t>
  </si>
  <si>
    <t>Скрепка</t>
  </si>
  <si>
    <t>Қысқыш 19 мм</t>
  </si>
  <si>
    <t>Зажим 19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</si>
  <si>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</si>
  <si>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</si>
  <si>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</si>
  <si>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</si>
  <si>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</si>
  <si>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</si>
  <si>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Конверт</t>
  </si>
  <si>
    <t>А4 конверті</t>
  </si>
  <si>
    <t>Конверт А4</t>
  </si>
  <si>
    <t>Сызғыш</t>
  </si>
  <si>
    <t>Линейка</t>
  </si>
  <si>
    <t>Пластмассадан жасалған сызғыш</t>
  </si>
  <si>
    <t>Линейка пластмассовая</t>
  </si>
  <si>
    <t>Жіп</t>
  </si>
  <si>
    <t>Нить</t>
  </si>
  <si>
    <t>Құжаттарды тігуге арналған жіп</t>
  </si>
  <si>
    <t>Нить для прошивки документов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</si>
  <si>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</si>
  <si>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</si>
  <si>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</si>
  <si>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</si>
  <si>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</si>
  <si>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</si>
  <si>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</si>
  <si>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</si>
  <si>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</si>
  <si>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</si>
  <si>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</si>
  <si>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</si>
  <si>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</si>
  <si>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</si>
  <si>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</si>
  <si>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</si>
  <si>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</si>
  <si>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</si>
  <si>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</si>
  <si>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</si>
  <si>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</si>
  <si>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Услуга</t>
  </si>
  <si>
    <t xml:space="preserve">Создание дополнительного соглашения </t>
  </si>
  <si>
    <t>4 квартал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</si>
  <si>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</si>
  <si>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</si>
  <si>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</si>
  <si>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</si>
  <si>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</si>
  <si>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</si>
  <si>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</si>
  <si>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</si>
  <si>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Тендер</t>
  </si>
  <si>
    <t>РСI PIN Security стандарттары талаптарынының сәйкестігіне сертификаттау аудиті</t>
  </si>
  <si>
    <t>Сертификационный аудит на соответствие требованиям стандартов PCI PIN Security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</si>
  <si>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</si>
  <si>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</si>
  <si>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</si>
  <si>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</si>
  <si>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>4 квартал - ноябрь</t>
  </si>
  <si>
    <t>Ақпараттық қауіпсіздік аудиті</t>
  </si>
  <si>
    <t>Аудит информационной безопасности</t>
  </si>
  <si>
    <t>3 квартал - сентябрь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</si>
  <si>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</si>
  <si>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</si>
  <si>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Ақпараттық жүйенің ақпараттық қауіпсіздік талаптарына сәйкестігіне сынақ жүргізу жөніндегі</t>
  </si>
  <si>
    <t>Проведение испытания информационной системы на соответствие требованиям информационной безопасности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</si>
  <si>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</si>
  <si>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</si>
  <si>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</si>
  <si>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</si>
  <si>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</si>
  <si>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</si>
  <si>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</si>
  <si>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</si>
  <si>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</si>
  <si>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</si>
  <si>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</si>
  <si>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</si>
  <si>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</si>
  <si>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</si>
  <si>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</si>
  <si>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</si>
  <si>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</si>
  <si>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Жүкті аралас тасымалдау бойынша қызмет көрсетулер</t>
  </si>
  <si>
    <t>Услуги по смешанной перевозке груза</t>
  </si>
  <si>
    <t>Деректерді өңдеу орталығының жабдықтарын қайта орналастыру</t>
  </si>
  <si>
    <t>Передислокация оборудования Центра обработки данных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</si>
  <si>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</si>
  <si>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</si>
  <si>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</si>
  <si>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</si>
  <si>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</si>
  <si>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</si>
  <si>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</si>
  <si>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</si>
  <si>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>Өрт қауіпсіздігіне оқыту</t>
  </si>
  <si>
    <t>Обучение противопожарной безопасности</t>
  </si>
  <si>
    <t xml:space="preserve">2 квартал </t>
  </si>
  <si>
    <t>Электр кернеуімен жұмыс істеу кезінде қауіпсіздік техникасы бойынша міндетті оқытудан өту</t>
  </si>
  <si>
    <t>Прохождение обязательного обучения по технике безопасности при работе с электрическим напряжением</t>
  </si>
  <si>
    <t>ISO-27001 ақпараттық қауіпсіздікті басқару жүйесін оқыту. Енгізу бойынша жетекші маман</t>
  </si>
  <si>
    <t>Обучение ISO-27001 Системы управления информационной безопасностью. Ведущий специалист по внедрению</t>
  </si>
  <si>
    <t xml:space="preserve">3 квартал </t>
  </si>
  <si>
    <t xml:space="preserve">4 квартал </t>
  </si>
  <si>
    <t>«Қаржылық есептілікті автоматтандыру» курсы бойынша оқыту</t>
  </si>
  <si>
    <t>Обучение по курсу "Автоматизация финансовой отчетности"</t>
  </si>
  <si>
    <t>«Junior Product Manager» курсы бойынша оқыту</t>
  </si>
  <si>
    <t>Обучение по курсу "Junior Product Manager"</t>
  </si>
  <si>
    <t xml:space="preserve">«Red Hat жүйелік әкімшілендіру, I бөлім» курсы бойынша оқыту </t>
  </si>
  <si>
    <t>Обучение по курсу "Системное администрирование Red Hat, часть I"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</si>
  <si>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</si>
  <si>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</si>
  <si>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"CompTIA Cybersecurity Analyst (CySA+)" курсы бойынша оқыту</t>
  </si>
  <si>
    <t>Обучение по курсу "CompTIA Cybersecurity Analyst (CySA+)"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</si>
  <si>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</si>
  <si>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</si>
  <si>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</si>
  <si>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</si>
  <si>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</si>
  <si>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</si>
  <si>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</si>
  <si>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</si>
  <si>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</si>
  <si>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</si>
  <si>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</si>
  <si>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</si>
  <si>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</si>
  <si>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</si>
  <si>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</si>
  <si>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</si>
  <si>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</si>
  <si>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</si>
  <si>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</si>
  <si>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</si>
  <si>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 xml:space="preserve">1 квартал </t>
  </si>
  <si>
    <t>Қорғалған Интернет желісіне кіру (Астана)</t>
  </si>
  <si>
    <t>Доступ к сети Интернет с защитой (Астана)</t>
  </si>
  <si>
    <t>DDoS-шабуылдардан желіні қорғау қызметтері</t>
  </si>
  <si>
    <t>Услуга защиты сети от DDoS-атак</t>
  </si>
  <si>
    <t>Интернет желісіне кіру (Қосшы)</t>
  </si>
  <si>
    <t>Доступ к сети Интернет (Косшы)</t>
  </si>
  <si>
    <t xml:space="preserve">Интернет (ДӨО) желісіне қол жеткізу </t>
  </si>
  <si>
    <t>Доступ к сети Интернет (ЦОД)</t>
  </si>
  <si>
    <t xml:space="preserve">СВИФТ арналған желіге кіру </t>
  </si>
  <si>
    <t>Доступ к сети для СВИФТ</t>
  </si>
  <si>
    <t>ДС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</si>
  <si>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</si>
  <si>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</si>
  <si>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</si>
  <si>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</si>
  <si>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</si>
  <si>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</si>
  <si>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</si>
  <si>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Косшы</t>
  </si>
  <si>
    <t>IP VPN арнасының көмегімен байланыс қызметтері Алматы (негізгі)-Астана</t>
  </si>
  <si>
    <t>Услуги связи посредством IP VPN канала Алматы (основной) - Астана</t>
  </si>
  <si>
    <t>IP VPN арнасының көмегімен байланыс қызметтері Алматы (резервтік)-Қосшы</t>
  </si>
  <si>
    <t>Услуги связи посредством IP VPN канала Алматы (резервный) - Косшы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</si>
  <si>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</si>
  <si>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</si>
  <si>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</si>
  <si>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</si>
  <si>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Телекоммуникация қызметтерін көрсету</t>
  </si>
  <si>
    <t>Предоставление услуг телекоммуникаций</t>
  </si>
  <si>
    <t>Телефон байланысы қызметтері</t>
  </si>
  <si>
    <t>Услуги телефонной связи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</si>
  <si>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</si>
  <si>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</si>
  <si>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</si>
  <si>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</si>
  <si>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</si>
  <si>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</si>
  <si>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</si>
  <si>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</si>
  <si>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</si>
  <si>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</si>
  <si>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</si>
  <si>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</si>
  <si>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</si>
  <si>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</si>
  <si>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</si>
  <si>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</si>
  <si>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</si>
  <si>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</si>
  <si>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</si>
  <si>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</si>
  <si>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Galaxy үздіксіз қуат көздеріне техникалық қызмет көрсету</t>
  </si>
  <si>
    <t>Техническое обслуживание источников бесперебойного питания Galaxy (РЦ)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</si>
  <si>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</si>
  <si>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</si>
  <si>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Gamatronic Centric үздіксіз қуат көздеріне техникалық қызмет көрсету</t>
  </si>
  <si>
    <t>Техническое обслуживание источников бесперебойного питания Gamatronic Centric (ОЦ)</t>
  </si>
  <si>
    <t xml:space="preserve">Запрос ценовых предложений 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</si>
  <si>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</si>
  <si>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</si>
  <si>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</si>
  <si>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</si>
  <si>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</si>
  <si>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</si>
  <si>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</si>
  <si>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</si>
  <si>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</si>
  <si>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</si>
  <si>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</si>
  <si>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</si>
  <si>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</si>
  <si>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</si>
  <si>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</si>
  <si>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</si>
  <si>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</si>
  <si>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Төлем жүйесінің жұмыс істеуіне арналған біріңғай бағдарламалық-аппараттық кешеніне техникалық қолдау көрсету</t>
  </si>
  <si>
    <t>Техническая поддержка единого программно-апппаратного комплекса для функционирования платежной системы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</si>
  <si>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</si>
  <si>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</si>
  <si>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</si>
  <si>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</si>
  <si>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</si>
  <si>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</si>
  <si>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</si>
  <si>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</si>
  <si>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</si>
  <si>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</si>
  <si>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</si>
  <si>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</si>
  <si>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</si>
  <si>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</si>
  <si>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 ТЖ Б, ЖЭТЖ ТЖ БҚ, БХАЖ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</si>
  <si>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</si>
  <si>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</si>
  <si>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</si>
  <si>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Сайттарды техникалық қолдау бойынша қызмет көрсетулер</t>
  </si>
  <si>
    <t>Услуги по технической поддержке сайтов</t>
  </si>
  <si>
    <t>"ҰТК" АҚ сайтын сүйемелдеу және техникалық қолдау көрсету</t>
  </si>
  <si>
    <t>Сопровождение и техническая поддержка сайта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</si>
  <si>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</si>
  <si>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</si>
  <si>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1 квартал - январь</t>
  </si>
  <si>
    <t>"Төлем жүйесін интеграциялау шлюзі" БҚ техникалық қолдау көрсету</t>
  </si>
  <si>
    <t>Техническая поддержка ПО "Шлюз интеграции платежных систем"</t>
  </si>
  <si>
    <t>3 квартал - июль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</si>
  <si>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</si>
  <si>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</si>
  <si>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Oracle ЛБҚ техникалық қолдау көрсетуді рәсімдеу</t>
  </si>
  <si>
    <t>Оформление технической поддержки ЛПО Oracle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</si>
  <si>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</si>
  <si>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</si>
  <si>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</si>
  <si>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</si>
  <si>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</si>
  <si>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</si>
  <si>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</si>
  <si>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</si>
  <si>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Atlassian стэк негізінде менеджмент-инцендентті орнату</t>
  </si>
  <si>
    <t>Настройка инцендент-менеджмента на основе стэка Atlassian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</si>
  <si>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</si>
  <si>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</si>
  <si>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</si>
  <si>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</si>
  <si>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Нормативті құжаттар сілтегіші</t>
  </si>
  <si>
    <t>Указатель нормативных документов</t>
  </si>
  <si>
    <t>Биометриялық сәйкестендіру саласындағы электрондық форматтағы стандарттар</t>
  </si>
  <si>
    <t>Стандарты в сфере биометрической идентификации в электронном формате</t>
  </si>
  <si>
    <t>Комплект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</si>
  <si>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</si>
  <si>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</si>
  <si>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</si>
  <si>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</si>
  <si>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Есептеу ресурстарын жалға алу</t>
  </si>
  <si>
    <t>Аренда вычислительных ресурсов</t>
  </si>
  <si>
    <t>Желілік инфрақұрылым мониторингі үшін бағдарламалық қамтамасыз етуге жазылу</t>
  </si>
  <si>
    <t>Подписка на программное обеспечение для мониторинга сетевой инфраструктуры</t>
  </si>
  <si>
    <t>Бағдарламалық қамсыздандыруды әзірлеу платформасына арналған лицензияларына жазылу</t>
  </si>
  <si>
    <t>Подписка на лицензии для платформы разработки программного обеспечения</t>
  </si>
  <si>
    <t>Әзірлеудің интеграцияланған ортасын бағдарламалық қамтамасыз ету үшін лицензияларға жазылу</t>
  </si>
  <si>
    <t>Подписка на лицензии для программного обеспечения интегрированной среды разработки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</si>
  <si>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</si>
  <si>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</si>
  <si>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</si>
  <si>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</si>
  <si>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</si>
  <si>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</si>
  <si>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</si>
  <si>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</si>
  <si>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</si>
  <si>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</si>
  <si>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Интернет желісіне пайдаланушыларды орталықтандырылған кіруді ұйымдастыруға арналған лицензияларды ұзарту</t>
  </si>
  <si>
    <t>Продление лицензий для устройств централизованного доступа пользователей к сети Интернет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</si>
  <si>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</si>
  <si>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</si>
  <si>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</si>
  <si>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</si>
  <si>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</si>
  <si>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</si>
  <si>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</si>
  <si>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</si>
  <si>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Қызметтерді әртүрлі құрылғыларда және браузерлерде автоматтандырылған тестілеуге арналған құралға жылдық қолжетімділікті сатып алу (5 лицензия)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</si>
  <si>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</si>
  <si>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</si>
  <si>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</si>
  <si>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 xml:space="preserve">Құжаттамамен бірлесіп жұмыс істеуге арналған лицензияға жазылу, ол командаларға техникалық материалдарды құруға, құрылымдауға және жариялауға мүмкіндік береді, ыңғайлы нұсқа бақылау жүйесі мен қолжетімділікті басқарумен </t>
  </si>
  <si>
    <t xml:space="preserve">Подписка на лицензии для совместной работы над документацией, который позволяет командам создавать, структурировать и публиковать технические материалы с удобной системой версий и управлением доступом" </t>
  </si>
  <si>
    <t>PNG, SVG, EPS, PSD және басқа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кешенді лицензияға жазылу, атрибуциясыз, іздеу мен жүктеудің кеңейтілген мүмкіндіктерімен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</si>
  <si>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</si>
  <si>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Осалдықтарды басқару жөніндегі БҚ жазылымын ұзарту</t>
  </si>
  <si>
    <t>Продление подписки на ПО по управлению уязвимостями</t>
  </si>
  <si>
    <t>Dr.Web Server Security Suite вирусқа қарсы БҚ жазылымын ұзарту</t>
  </si>
  <si>
    <t>Продление подписки на антивирусное ПО Dr.Web Server Security Suite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</si>
  <si>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</si>
  <si>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</si>
  <si>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</si>
  <si>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</si>
  <si>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</si>
  <si>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</si>
  <si>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</si>
  <si>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</si>
  <si>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</si>
  <si>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</si>
  <si>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</si>
  <si>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</si>
  <si>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</si>
  <si>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</si>
  <si>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</si>
  <si>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Подписка для построения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</si>
  <si>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</si>
  <si>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</si>
  <si>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Бағдарламалық қамтамасыз етуді орнату/баптау бойынша қызметтер</t>
  </si>
  <si>
    <t>Услуги по установке/настройке программного обеспечения</t>
  </si>
  <si>
    <t>ITAM және конфигурацияны басқару дерекқорын құруға арналған шешімдері қызметтері</t>
  </si>
  <si>
    <t>ITAM и решение для построения базы данных управления конфигурацией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</si>
  <si>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</si>
  <si>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</si>
  <si>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</si>
  <si>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</si>
  <si>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</si>
  <si>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</si>
  <si>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Қауіпсіздікті тестілеу (Continiuos Pentest) қызметтері</t>
  </si>
  <si>
    <t>Услуги тестирования защищенности (Continiuos Pentest)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</si>
  <si>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</si>
  <si>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</si>
  <si>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</si>
  <si>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</si>
  <si>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>Виртуалды желіаралық экран қызметтері (Қосшы)</t>
  </si>
  <si>
    <t>Услуги виртуального межсетевого экрана (Косшы)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</si>
  <si>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</si>
  <si>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</si>
  <si>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</si>
  <si>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</si>
  <si>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Тұрғын емес үй-жайларды жалға алу Қосшы</t>
  </si>
  <si>
    <t>Аренда нежилых помещений Косшы</t>
  </si>
  <si>
    <t>(Астана) тіректері бар тұрғын емес үй-жайларды жалдау қызметтері</t>
  </si>
  <si>
    <t>Аренда нежилых помещений со стойками (Астана)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</si>
  <si>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</si>
  <si>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</si>
  <si>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</si>
  <si>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</si>
  <si>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</si>
  <si>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</si>
  <si>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</si>
  <si>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</si>
  <si>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</si>
  <si>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</si>
  <si>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</si>
  <si>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</si>
  <si>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</si>
  <si>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</si>
  <si>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</si>
  <si>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</si>
  <si>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</si>
  <si>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</si>
  <si>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</si>
  <si>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</si>
  <si>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</si>
  <si>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</si>
  <si>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</si>
  <si>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Услуги перевода для ЦОИД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</si>
  <si>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</si>
  <si>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</si>
  <si>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</si>
  <si>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</si>
  <si>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</si>
  <si>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</si>
  <si>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</si>
  <si>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</si>
  <si>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</si>
  <si>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</si>
  <si>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Команда құруға бағытталған тимбилдинг өткізу</t>
  </si>
  <si>
    <t>Проведение тимбилдинга, направленного на командообразование</t>
  </si>
  <si>
    <t>Контрагенттерді тексеру жөніндегі ақпараттық жүйеге қосу жөніндегі қызметтер</t>
  </si>
  <si>
    <t>Услуги по подключению к информационной системе по проверке контрагентов</t>
  </si>
  <si>
    <t>Жеке тұлғаларды (кандидаттарды) тексеру жөніндегі мамандандырылған ақпараттық жүйеге қосу жөніндегі қызметтер</t>
  </si>
  <si>
    <t>Услуги по подключению к специализированной информационной системе по проверке физических лиц (кандидатов)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</si>
  <si>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</si>
  <si>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</si>
  <si>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</si>
  <si>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</si>
  <si>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Қауіпсіз қалдықтар/мүлік/материалдарды шығару бойынша қызмет көрсетулер</t>
  </si>
  <si>
    <t>Услуги по удалению неопасных отходов/имущества/материалов</t>
  </si>
  <si>
    <t>Құжаттарды кәдеге жарату</t>
  </si>
  <si>
    <t>Утилизация документов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</si>
  <si>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</si>
  <si>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</si>
  <si>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</si>
  <si>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</si>
  <si>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</si>
  <si>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</si>
  <si>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</si>
  <si>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</si>
  <si>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</si>
  <si>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</si>
  <si>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Мүлікті жою бойынша қызметтер</t>
  </si>
  <si>
    <t>Услуги по утилизации имущества</t>
  </si>
  <si>
    <t>Жабдықтарды кәдеге жарату</t>
  </si>
  <si>
    <t>Утилизация оборудования</t>
  </si>
  <si>
    <t>Басып шығару қызметінің қызмет көрсетулері</t>
  </si>
  <si>
    <t>Услуги сервиса печати</t>
  </si>
  <si>
    <t>3Д басып шығару қызметтері</t>
  </si>
  <si>
    <t>Услуги 3Д печати</t>
  </si>
  <si>
    <t>Типографиялық қызметтері</t>
  </si>
  <si>
    <t>Услуги типографии</t>
  </si>
  <si>
    <t>Ақпараттық және имидждік ілесу бойынша қызметтер</t>
  </si>
  <si>
    <t>Услуги по информационному и имиджевому сопровождению</t>
  </si>
  <si>
    <t>Графикалық дизайн қызметтері</t>
  </si>
  <si>
    <t>Услуги графического дизайна</t>
  </si>
  <si>
    <t>Бейнеролик-презентацияны әзірлеу қызметтері</t>
  </si>
  <si>
    <t>Услуги разработки видеоролика-презентации</t>
  </si>
  <si>
    <t>Деректі фильм түсіру бойынша қызметтері</t>
  </si>
  <si>
    <t xml:space="preserve">Услуги по съемке документального фильма </t>
  </si>
  <si>
    <t>Тақтай</t>
  </si>
  <si>
    <t>Доска</t>
  </si>
  <si>
    <t>100x150mm магниттік маркерлік қабырға тақтасы</t>
  </si>
  <si>
    <t>Доска магнитно-маркерная настенная 100х150мм</t>
  </si>
  <si>
    <t>Мөрқалып жастықшасы</t>
  </si>
  <si>
    <t>Подушка штемпельная</t>
  </si>
  <si>
    <t>Өлшемі 47х18мм  мөртабан</t>
  </si>
  <si>
    <t>Штамп размером 47х18мм</t>
  </si>
  <si>
    <t>Оптикалық жетек</t>
  </si>
  <si>
    <t>Привод оптический</t>
  </si>
  <si>
    <t>USB оптикалық жетегі</t>
  </si>
  <si>
    <t>Оптический привод USB</t>
  </si>
  <si>
    <t>Ақпаратты криптографиялық қорғау құралы</t>
  </si>
  <si>
    <t>Средство криптографической защиты информации</t>
  </si>
  <si>
    <t>Token қорғалған USB негізгі ақпарат тасымалдаушысы</t>
  </si>
  <si>
    <t>Защищенный USB носитель ключевой информации token</t>
  </si>
  <si>
    <t>Бетперде</t>
  </si>
  <si>
    <t>Маска</t>
  </si>
  <si>
    <t>Гиперреалистік 3Д бет маскасы</t>
  </si>
  <si>
    <t>Гиперреалистичная 3Д маска лица</t>
  </si>
  <si>
    <t>Шамшырақ</t>
  </si>
  <si>
    <t>Светильник</t>
  </si>
  <si>
    <t>Жарықдиодты жарықтандыру</t>
  </si>
  <si>
    <t>Светодиодное освещение</t>
  </si>
  <si>
    <t>Монитор</t>
  </si>
  <si>
    <t>1 типті монитор</t>
  </si>
  <si>
    <t>Монитор тип 1</t>
  </si>
  <si>
    <t>2 типті монитор</t>
  </si>
  <si>
    <t>Монитор тип 2</t>
  </si>
  <si>
    <t>Компьютер</t>
  </si>
  <si>
    <t>1 типті моноблок</t>
  </si>
  <si>
    <t>Моноблок тип 1</t>
  </si>
  <si>
    <t>2 типті моноблок</t>
  </si>
  <si>
    <t>Моноблок тип 2</t>
  </si>
  <si>
    <t>3 типті моноблок</t>
  </si>
  <si>
    <t>Моноблок тип 3</t>
  </si>
  <si>
    <t>Ноутбук</t>
  </si>
  <si>
    <t>1 типті ноутбук</t>
  </si>
  <si>
    <t>Ноутбук тип 1</t>
  </si>
  <si>
    <t>2 типті ноутбук</t>
  </si>
  <si>
    <t>Ноутбук тип 2</t>
  </si>
  <si>
    <t>Неттоп</t>
  </si>
  <si>
    <t>Портативті монитор</t>
  </si>
  <si>
    <t>Портативный монитор</t>
  </si>
  <si>
    <t>Жүйелі блок</t>
  </si>
  <si>
    <t>Блок системный</t>
  </si>
  <si>
    <t>Жүйелік блок</t>
  </si>
  <si>
    <t>Системный блок</t>
  </si>
  <si>
    <t>SFP трансивер қабылдағыш-жібергіш</t>
  </si>
  <si>
    <t>Приемопередатчик трансивер SFP</t>
  </si>
  <si>
    <t>SR 10Gb/25Gb адаптерлер</t>
  </si>
  <si>
    <t>Адаптеры 10Gb/25Gb SR</t>
  </si>
  <si>
    <t>Сервер</t>
  </si>
  <si>
    <t>ТКБЖ сервері</t>
  </si>
  <si>
    <t>Сервера МСПК</t>
  </si>
  <si>
    <t>Ішкі домен серверлері</t>
  </si>
  <si>
    <t>Сервера внутреннего домена</t>
  </si>
  <si>
    <t>Oracle сервері</t>
  </si>
  <si>
    <t>Сервера Oracle</t>
  </si>
  <si>
    <t xml:space="preserve">1 типті ЖИ сервері </t>
  </si>
  <si>
    <t>Сервера ИИ тип 1</t>
  </si>
  <si>
    <t>2 типті ЖИ сервері</t>
  </si>
  <si>
    <t>Сервера ИИ тип 2</t>
  </si>
  <si>
    <t>Дискті массив</t>
  </si>
  <si>
    <t>Массив дисковый</t>
  </si>
  <si>
    <t>Ақпараттық жүйелерге арналған деректерді сақтау жүйесіне жинақтауыштар</t>
  </si>
  <si>
    <t>Накопители к системе хранения данных для информационных систем</t>
  </si>
  <si>
    <t>Көп функциялық құрылғы</t>
  </si>
  <si>
    <t>Устройство многофункциональное</t>
  </si>
  <si>
    <t>Карта оқу құрылғысы A3 форматындағы  КФҚ</t>
  </si>
  <si>
    <t>МФУ формата А3 со считывателем карт</t>
  </si>
  <si>
    <t>Адаптер</t>
  </si>
  <si>
    <t>FC серверлер үшін адаптерлер</t>
  </si>
  <si>
    <t>FC адаптеры для серверов</t>
  </si>
  <si>
    <t>Қатты диск</t>
  </si>
  <si>
    <t>Диск жесткий</t>
  </si>
  <si>
    <t>Серверлерге арналған SSD-дискiлерi</t>
  </si>
  <si>
    <t>SSD-диски для серверов</t>
  </si>
  <si>
    <t>Мамандандырылған жүйе</t>
  </si>
  <si>
    <t>Система специализированная</t>
  </si>
  <si>
    <t>Конференц-зал жабдықтарын жаңғырту</t>
  </si>
  <si>
    <t xml:space="preserve">Модернизация оборудования конференц зала </t>
  </si>
  <si>
    <t>Желілік коммутатор</t>
  </si>
  <si>
    <t>Коммутатор сетевой</t>
  </si>
  <si>
    <t>Коммутатор түрi 1</t>
  </si>
  <si>
    <t>Коммутатор тип 1</t>
  </si>
  <si>
    <t>Коммутатор түрi 2</t>
  </si>
  <si>
    <t>Коммутатор тип 2</t>
  </si>
  <si>
    <t>Аккумулятор</t>
  </si>
  <si>
    <t>Аккумуляторлық батареялар (12В, 100А/сағ)</t>
  </si>
  <si>
    <t>Аккумуляторные батареи (12В, 100А/ч)</t>
  </si>
  <si>
    <t>Бағдарламалық қамтамасыз етуді жаңарту бойынша қызметтер</t>
  </si>
  <si>
    <t>Услуги по модификации программного обеспечения</t>
  </si>
  <si>
    <t>1С Предприятие БҚ дамыту</t>
  </si>
  <si>
    <t>Развитие ПО 1С Предприятие</t>
  </si>
  <si>
    <t>Сыртқы пайдаланушылардың айналымын басқару жүйесін дамыту</t>
  </si>
  <si>
    <t>Развитие системы управления обращения внешних пользователей</t>
  </si>
  <si>
    <t>ТЖ БҚ және БХАЖ БҚ дамыту</t>
  </si>
  <si>
    <t>Развитие ПО ПС  и ПО СОБС</t>
  </si>
  <si>
    <t>Оpen API бағдарламалық интерфейстері бойынша ақпарат алмасудың банкаралық жүйесін функционалдық пысықтау жөніндегі қызметтерi</t>
  </si>
  <si>
    <t>Услуги функциональной доработки Межбанковской системы обмена информацией по открытым программным интерфейсам Open API</t>
  </si>
  <si>
    <t>Согласовано:</t>
  </si>
  <si>
    <t>Начальник отдела Проектного управления-Проектный офис</t>
  </si>
  <si>
    <t>А. Асакаев</t>
  </si>
  <si>
    <t>Заведующий сектором коммуникаций</t>
  </si>
  <si>
    <t>Начальник управления правового обеспечения</t>
  </si>
  <si>
    <t>Д. Шагалтаев</t>
  </si>
  <si>
    <t>Начальник управления информационной безопасности</t>
  </si>
  <si>
    <t>Т. Муканов</t>
  </si>
  <si>
    <t>И.о. Главный бухгалтер - начальник отдела бухгалтерского учета</t>
  </si>
  <si>
    <t>Н. Малкенова</t>
  </si>
  <si>
    <t>И.о. Начальник управления по работе с персоналом и документационного обеспечения</t>
  </si>
  <si>
    <t>А. Джумашева</t>
  </si>
  <si>
    <t>Начальник финансового отдела управления финансов</t>
  </si>
  <si>
    <t>И. Олейник</t>
  </si>
  <si>
    <t>Начальник отдела внутренней безопасности</t>
  </si>
  <si>
    <t>А. Аукаиров</t>
  </si>
  <si>
    <t>Начальник административно-хозяйственного отдела</t>
  </si>
  <si>
    <t>А. Шарипов</t>
  </si>
  <si>
    <t>Начальник управления технического обеспчения</t>
  </si>
  <si>
    <t>И. Касанов</t>
  </si>
  <si>
    <t>Директор департамента информационных технологий</t>
  </si>
  <si>
    <t>С. Кандалов</t>
  </si>
  <si>
    <t>Директор департамента по развитию продуктов-управляющий директор</t>
  </si>
  <si>
    <t>Р. Абдрашев</t>
  </si>
  <si>
    <t>Начальник управления удостоверяющего центра</t>
  </si>
  <si>
    <t>П. Третьяков</t>
  </si>
  <si>
    <t>Заместитель директора департамента операционного контроля</t>
  </si>
  <si>
    <t>Р. Анефиев</t>
  </si>
  <si>
    <t>Начальник управления ЦОИД</t>
  </si>
  <si>
    <t>А. Ермаханова</t>
  </si>
  <si>
    <t>Начальник управления разработки</t>
  </si>
  <si>
    <t>Д. Рахматулин</t>
  </si>
  <si>
    <t>Директор департамента карточного процессинга-управляющий директор</t>
  </si>
  <si>
    <t>Директор департамента развития платежных технологий</t>
  </si>
  <si>
    <t>Д. Балкина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</si>
</sst>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0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16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>
      <alignment horizontal="center" wrapText="1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4" fontId="7" fillId="0" borderId="0" xfId="0" applyNumberFormat="1" applyFont="1"/>
    <xf numFmtId="49" fontId="1" fillId="0" borderId="11" xfId="0" applyNumberFormat="1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" fontId="8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4" fontId="9" fillId="0" borderId="10" xfId="0" applyNumberFormat="1" applyFont="1" applyBorder="1" applyAlignment="1">
      <alignment horizontal="center"/>
    </xf>
    <xf numFmtId="2" fontId="1" fillId="0" borderId="0" xfId="0" applyNumberFormat="1" applyFont="1"/>
    <xf numFmtId="4" fontId="1" fillId="0" borderId="1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49" fontId="1" fillId="0" borderId="10" xfId="2" applyNumberFormat="1" applyFont="1" applyBorder="1" applyAlignment="1" applyProtection="1">
      <alignment horizontal="left" wrapText="1"/>
      <protection locked="0"/>
    </xf>
    <xf numFmtId="4" fontId="11" fillId="0" borderId="0" xfId="0" applyNumberFormat="1" applyFont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4" fontId="3" fillId="0" borderId="0" xfId="0" applyNumberFormat="1" applyFont="1"/>
    <xf numFmtId="49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12" fillId="0" borderId="0" xfId="0" applyNumberFormat="1" applyFont="1" applyAlignment="1">
      <alignment horizontal="center"/>
    </xf>
    <xf numFmtId="49" fontId="1" fillId="3" borderId="10" xfId="0" applyNumberFormat="1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49" fontId="1" fillId="3" borderId="10" xfId="0" applyNumberFormat="1" applyFont="1" applyFill="1" applyBorder="1" applyAlignment="1">
      <alignment horizontal="center"/>
    </xf>
    <xf numFmtId="4" fontId="3" fillId="0" borderId="2" xfId="1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4" fontId="13" fillId="0" borderId="0" xfId="0" applyNumberFormat="1" applyFont="1"/>
    <xf numFmtId="0" fontId="1" fillId="0" borderId="0" xfId="0" applyFont="1" applyAlignment="1">
      <alignment horizontal="left" wrapText="1"/>
    </xf>
    <xf numFmtId="0" fontId="4" fillId="0" borderId="0" xfId="0" applyFont="1"/>
    <xf numFmtId="49" fontId="1" fillId="0" borderId="0" xfId="0" applyNumberFormat="1" applyFont="1" applyAlignment="1">
      <alignment horizontal="left" wrapText="1"/>
    </xf>
    <xf numFmtId="4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6" xfId="1" applyNumberFormat="1" applyFont="1" applyFill="1" applyBorder="1" applyAlignment="1">
      <alignment horizontal="center"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1" fontId="3" fillId="3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  <protection hidden="1"/>
    </xf>
    <xf numFmtId="0" fontId="3" fillId="3" borderId="6" xfId="1" applyFont="1" applyFill="1" applyBorder="1" applyAlignment="1" applyProtection="1">
      <alignment horizontal="center" vertical="center" wrapText="1"/>
      <protection hidden="1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6AA00EB6-5C37-4A88-9EAA-71A1E9EF38E8}"/>
    <cellStyle name="Обычный 3 2" xfId="2" xr:uid="{699A3760-DA24-496F-BE60-70FE09CFB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lmagambetova.B\Desktop\&#1050;&#1086;&#1088;&#1088;&#1077;&#1082;&#1090;&#1080;&#1088;&#1086;&#1074;&#1082;&#1080;%202025\&#1050;&#1086;&#1088;&#1088;&#1077;&#1082;&#1090;&#1080;&#1088;&#1086;&#1074;&#1082;&#1072;%20&#1055;&#1047;%20&#1080;%20&#1041;&#1053;&#1055;&#1047;\10.%20&#1057;&#1077;&#1085;&#1090;&#1103;&#1073;&#1088;&#1100;\10.%20&#1055;&#1083;&#1072;&#1085;%20&#1079;&#1072;&#1082;&#1091;&#1087;&#1086;&#1082;%20&#1058;&#1056;&#1059;%20&#1085;&#1072;%202025&#1075;&#1086;&#1076;%20&#109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лан закупок ТРУ"/>
      <sheetName val="выписка"/>
      <sheetName val="БНПЗ"/>
      <sheetName val="БНПЗ (1)"/>
      <sheetName val="бюджет (1)"/>
      <sheetName val="Проверка по корр ПЗ, БНПЗ, бюдж"/>
      <sheetName val="бюджет (2)"/>
      <sheetName val="подразделения"/>
      <sheetName val="смета расходов"/>
      <sheetName val="Бюджет"/>
      <sheetName val="смета 2025"/>
      <sheetName val="ФинПлан-корр."/>
      <sheetName val="смета расходов (01.07.2025)"/>
      <sheetName val="Лист1"/>
      <sheetName val="Смета"/>
    </sheetNames>
    <sheetDataSet>
      <sheetData sheetId="0"/>
      <sheetData sheetId="1"/>
      <sheetData sheetId="2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35">
          <cell r="D135">
            <v>2173048.3591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B0E6-B3F1-4CAA-BAAB-78CB5748EB6C}">
  <sheetPr>
    <pageSetUpPr fitToPage="1"/>
  </sheetPr>
  <dimension ref="B1:S324"/>
  <sheetViews>
    <sheetView tabSelected="1" zoomScale="71" zoomScaleNormal="71" zoomScalePageLayoutView="75" workbookViewId="0">
      <pane ySplit="4" topLeftCell="A68" activePane="bottomLeft" state="frozen"/>
      <selection activeCell="G166" sqref="G166"/>
      <selection pane="bottomLeft" activeCell="H255" sqref="H255"/>
    </sheetView>
  </sheetViews>
  <sheetFormatPr defaultRowHeight="12.75" x14ac:dyDescent="0.2"/>
  <cols>
    <col min="1" max="1" width="4.28515625" style="8" customWidth="1"/>
    <col min="2" max="2" width="16.85546875" style="8" customWidth="1"/>
    <col min="3" max="3" width="38" style="7" customWidth="1"/>
    <col min="4" max="4" width="36.7109375" style="7" customWidth="1"/>
    <col min="5" max="6" width="39.5703125" style="7" customWidth="1"/>
    <col min="7" max="7" width="20.85546875" style="8" customWidth="1"/>
    <col min="8" max="8" width="15" style="8" customWidth="1"/>
    <col min="9" max="9" width="14.7109375" style="8" customWidth="1"/>
    <col min="10" max="10" width="20.140625" style="8" customWidth="1"/>
    <col min="11" max="11" width="19.5703125" style="19" customWidth="1"/>
    <col min="12" max="13" width="21.28515625" style="8" customWidth="1"/>
    <col min="14" max="14" width="22.5703125" style="8" customWidth="1"/>
    <col min="15" max="15" width="17.7109375" style="8" customWidth="1"/>
    <col min="16" max="16" width="19.28515625" style="8" customWidth="1"/>
    <col min="17" max="17" width="20" style="8" customWidth="1"/>
    <col min="18" max="18" width="19" style="8" customWidth="1"/>
    <col min="19" max="16384" width="9.140625" style="8"/>
  </cols>
  <sheetData>
    <row r="1" spans="2:18" s="7" customFormat="1" ht="14.25" x14ac:dyDescent="0.2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6"/>
      <c r="M1" s="2"/>
      <c r="N1" s="5"/>
      <c r="O1" s="1"/>
      <c r="P1" s="1"/>
    </row>
    <row r="2" spans="2:18" ht="42.75" customHeight="1" thickBot="1" x14ac:dyDescent="0.25">
      <c r="K2" s="50" t="s">
        <v>1</v>
      </c>
      <c r="L2" s="9" t="s">
        <v>1</v>
      </c>
      <c r="M2" s="9" t="s">
        <v>1</v>
      </c>
      <c r="N2" s="61" t="s">
        <v>2</v>
      </c>
      <c r="O2" s="61"/>
      <c r="P2" s="62"/>
    </row>
    <row r="3" spans="2:18" s="10" customFormat="1" ht="37.5" customHeight="1" x14ac:dyDescent="0.25">
      <c r="B3" s="63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7" t="s">
        <v>8</v>
      </c>
      <c r="H3" s="67" t="s">
        <v>9</v>
      </c>
      <c r="I3" s="55" t="s">
        <v>10</v>
      </c>
      <c r="J3" s="55" t="s">
        <v>11</v>
      </c>
      <c r="K3" s="55" t="s">
        <v>12</v>
      </c>
      <c r="L3" s="55" t="s">
        <v>13</v>
      </c>
      <c r="M3" s="55" t="s">
        <v>14</v>
      </c>
      <c r="N3" s="55" t="s">
        <v>15</v>
      </c>
      <c r="O3" s="57" t="s">
        <v>16</v>
      </c>
      <c r="P3" s="59" t="s">
        <v>17</v>
      </c>
    </row>
    <row r="4" spans="2:18" s="10" customFormat="1" ht="37.5" customHeight="1" thickBot="1" x14ac:dyDescent="0.3">
      <c r="B4" s="64"/>
      <c r="C4" s="66"/>
      <c r="D4" s="66"/>
      <c r="E4" s="66"/>
      <c r="F4" s="66"/>
      <c r="G4" s="68"/>
      <c r="H4" s="68"/>
      <c r="I4" s="56"/>
      <c r="J4" s="56"/>
      <c r="K4" s="56"/>
      <c r="L4" s="56"/>
      <c r="M4" s="56"/>
      <c r="N4" s="56"/>
      <c r="O4" s="58"/>
      <c r="P4" s="60"/>
    </row>
    <row r="5" spans="2:18" s="1" customFormat="1" x14ac:dyDescent="0.2">
      <c r="B5" s="11">
        <v>1</v>
      </c>
      <c r="C5" s="12">
        <v>2</v>
      </c>
      <c r="D5" s="12">
        <v>3</v>
      </c>
      <c r="E5" s="12">
        <v>4</v>
      </c>
      <c r="F5" s="12">
        <v>5</v>
      </c>
      <c r="G5" s="11">
        <v>6</v>
      </c>
      <c r="H5" s="11">
        <v>7</v>
      </c>
      <c r="I5" s="11">
        <v>8</v>
      </c>
      <c r="J5" s="11">
        <v>9</v>
      </c>
      <c r="K5" s="49">
        <v>10</v>
      </c>
      <c r="L5" s="11">
        <v>11</v>
      </c>
      <c r="M5" s="11">
        <v>12</v>
      </c>
      <c r="N5" s="11">
        <v>13</v>
      </c>
      <c r="O5" s="11">
        <v>14</v>
      </c>
      <c r="P5" s="13">
        <v>15</v>
      </c>
    </row>
    <row r="6" spans="2:18" ht="28.5" customHeight="1" x14ac:dyDescent="0.2">
      <c r="B6" s="14" t="s">
        <v>18</v>
      </c>
      <c r="C6" s="15" t="s">
        <v>19</v>
      </c>
      <c r="D6" s="15" t="s">
        <v>19</v>
      </c>
      <c r="E6" s="15" t="s">
        <v>20</v>
      </c>
      <c r="F6" s="15" t="s">
        <v>21</v>
      </c>
      <c r="G6" s="44" t="s">
        <v>22</v>
      </c>
      <c r="H6" s="45" t="s">
        <v>23</v>
      </c>
      <c r="I6" s="16">
        <f>25-24+19</f>
        <v>20</v>
      </c>
      <c r="J6" s="16">
        <v>32169.66</v>
      </c>
      <c r="K6" s="16">
        <f t="shared" ref="K6:K11" si="0">I6*J6</f>
        <v>643393.19999999995</v>
      </c>
      <c r="L6" s="16"/>
      <c r="M6" s="17"/>
      <c r="N6" s="16"/>
      <c r="O6" s="44" t="s">
        <v>24</v>
      </c>
      <c r="P6" s="18"/>
    </row>
    <row r="7" spans="2:18" ht="26.25" customHeight="1" x14ac:dyDescent="0.2">
      <c r="B7" s="14" t="s">
        <v>18</v>
      </c>
      <c r="C7" s="15" t="s">
        <v>19</v>
      </c>
      <c r="D7" s="15" t="s">
        <v>19</v>
      </c>
      <c r="E7" s="15" t="s">
        <v>25</v>
      </c>
      <c r="F7" s="15" t="s">
        <v>26</v>
      </c>
      <c r="G7" s="44" t="s">
        <v>22</v>
      </c>
      <c r="H7" s="45" t="s">
        <v>23</v>
      </c>
      <c r="I7" s="16">
        <v>15</v>
      </c>
      <c r="J7" s="16">
        <f>113750-18217.05-2382.95</f>
        <v>93150</v>
      </c>
      <c r="K7" s="16">
        <f t="shared" si="0"/>
        <v>1397250</v>
      </c>
      <c r="L7" s="16"/>
      <c r="M7" s="17"/>
      <c r="N7" s="16"/>
      <c r="O7" s="44" t="s">
        <v>27</v>
      </c>
      <c r="P7" s="18"/>
      <c r="Q7" s="19"/>
    </row>
    <row r="8" spans="2:18" ht="28.5" customHeight="1" x14ac:dyDescent="0.2">
      <c r="B8" s="14" t="s">
        <v>18</v>
      </c>
      <c r="C8" s="15" t="s">
        <v>19</v>
      </c>
      <c r="D8" s="15" t="s">
        <v>19</v>
      </c>
      <c r="E8" s="15" t="s">
        <v>28</v>
      </c>
      <c r="F8" s="15" t="s">
        <v>29</v>
      </c>
      <c r="G8" s="44" t="s">
        <v>22</v>
      </c>
      <c r="H8" s="45" t="s">
        <v>23</v>
      </c>
      <c r="I8" s="16">
        <v>3</v>
      </c>
      <c r="J8" s="16">
        <v>114700</v>
      </c>
      <c r="K8" s="16">
        <f t="shared" si="0"/>
        <v>344100</v>
      </c>
      <c r="L8" s="16"/>
      <c r="M8" s="17"/>
      <c r="N8" s="16"/>
      <c r="O8" s="44" t="s">
        <v>27</v>
      </c>
      <c r="P8" s="18"/>
    </row>
    <row r="9" spans="2:18" ht="27.75" customHeight="1" x14ac:dyDescent="0.2">
      <c r="B9" s="14" t="s">
        <v>18</v>
      </c>
      <c r="C9" s="15" t="s">
        <v>19</v>
      </c>
      <c r="D9" s="15" t="s">
        <v>19</v>
      </c>
      <c r="E9" s="15" t="s">
        <v>30</v>
      </c>
      <c r="F9" s="15" t="s">
        <v>31</v>
      </c>
      <c r="G9" s="44" t="s">
        <v>22</v>
      </c>
      <c r="H9" s="45" t="s">
        <v>23</v>
      </c>
      <c r="I9" s="16">
        <v>2</v>
      </c>
      <c r="J9" s="16">
        <v>125000</v>
      </c>
      <c r="K9" s="16">
        <f t="shared" si="0"/>
        <v>250000</v>
      </c>
      <c r="L9" s="16"/>
      <c r="M9" s="17"/>
      <c r="N9" s="16"/>
      <c r="O9" s="44" t="s">
        <v>27</v>
      </c>
      <c r="P9" s="18"/>
    </row>
    <row r="10" spans="2:18" ht="27" customHeight="1" x14ac:dyDescent="0.2">
      <c r="B10" s="14" t="s">
        <v>18</v>
      </c>
      <c r="C10" s="15" t="s">
        <v>19</v>
      </c>
      <c r="D10" s="15" t="s">
        <v>19</v>
      </c>
      <c r="E10" s="15" t="s">
        <v>32</v>
      </c>
      <c r="F10" s="15" t="s">
        <v>33</v>
      </c>
      <c r="G10" s="44" t="s">
        <v>22</v>
      </c>
      <c r="H10" s="45" t="s">
        <v>23</v>
      </c>
      <c r="I10" s="16">
        <v>1</v>
      </c>
      <c r="J10" s="16">
        <v>125000</v>
      </c>
      <c r="K10" s="16">
        <f t="shared" si="0"/>
        <v>125000</v>
      </c>
      <c r="L10" s="16"/>
      <c r="M10" s="17"/>
      <c r="N10" s="16"/>
      <c r="O10" s="44" t="s">
        <v>27</v>
      </c>
      <c r="P10" s="18"/>
    </row>
    <row r="11" spans="2:18" ht="26.25" customHeight="1" x14ac:dyDescent="0.2">
      <c r="B11" s="14" t="s">
        <v>18</v>
      </c>
      <c r="C11" s="15" t="s">
        <v>19</v>
      </c>
      <c r="D11" s="15" t="s">
        <v>19</v>
      </c>
      <c r="E11" s="15" t="s">
        <v>34</v>
      </c>
      <c r="F11" s="15" t="s">
        <v>35</v>
      </c>
      <c r="G11" s="44" t="s">
        <v>22</v>
      </c>
      <c r="H11" s="45" t="s">
        <v>23</v>
      </c>
      <c r="I11" s="16">
        <v>2</v>
      </c>
      <c r="J11" s="16">
        <v>125000</v>
      </c>
      <c r="K11" s="16">
        <f t="shared" si="0"/>
        <v>250000</v>
      </c>
      <c r="L11" s="16"/>
      <c r="M11" s="17"/>
      <c r="N11" s="16"/>
      <c r="O11" s="44" t="s">
        <v>27</v>
      </c>
      <c r="P11" s="18"/>
    </row>
    <row r="12" spans="2:18" ht="26.25" customHeight="1" x14ac:dyDescent="0.2">
      <c r="B12" s="14" t="s">
        <v>18</v>
      </c>
      <c r="C12" s="15" t="s">
        <v>19</v>
      </c>
      <c r="D12" s="15" t="s">
        <v>19</v>
      </c>
      <c r="E12" s="15" t="s">
        <v>36</v>
      </c>
      <c r="F12" s="15" t="s">
        <v>37</v>
      </c>
      <c r="G12" s="44" t="s">
        <v>22</v>
      </c>
      <c r="H12" s="45" t="s">
        <v>23</v>
      </c>
      <c r="I12" s="16">
        <v>1</v>
      </c>
      <c r="J12" s="16">
        <f>117455.36</f>
        <v>117455.36</v>
      </c>
      <c r="K12" s="16">
        <f>I12*J12</f>
        <v>117455.36</v>
      </c>
      <c r="L12" s="16"/>
      <c r="M12" s="17"/>
      <c r="N12" s="16"/>
      <c r="O12" s="44" t="s">
        <v>27</v>
      </c>
      <c r="P12" s="18"/>
      <c r="Q12" s="19"/>
      <c r="R12" s="21"/>
    </row>
    <row r="13" spans="2:18" ht="26.25" customHeight="1" x14ac:dyDescent="0.2">
      <c r="B13" s="14" t="s">
        <v>18</v>
      </c>
      <c r="C13" s="15" t="s">
        <v>19</v>
      </c>
      <c r="D13" s="15" t="s">
        <v>19</v>
      </c>
      <c r="E13" s="15" t="s">
        <v>38</v>
      </c>
      <c r="F13" s="15" t="s">
        <v>39</v>
      </c>
      <c r="G13" s="44" t="s">
        <v>22</v>
      </c>
      <c r="H13" s="45" t="s">
        <v>23</v>
      </c>
      <c r="I13" s="16">
        <v>1</v>
      </c>
      <c r="J13" s="16">
        <f>153794.642857143-26294.64</f>
        <v>127500.00285714299</v>
      </c>
      <c r="K13" s="16">
        <f>I13*J13</f>
        <v>127500.00285714299</v>
      </c>
      <c r="L13" s="16"/>
      <c r="M13" s="17"/>
      <c r="N13" s="16"/>
      <c r="O13" s="44" t="s">
        <v>27</v>
      </c>
      <c r="P13" s="18"/>
      <c r="Q13" s="19"/>
      <c r="R13" s="21"/>
    </row>
    <row r="14" spans="2:18" ht="26.25" customHeight="1" x14ac:dyDescent="0.2">
      <c r="B14" s="14" t="s">
        <v>18</v>
      </c>
      <c r="C14" s="15" t="s">
        <v>19</v>
      </c>
      <c r="D14" s="15" t="s">
        <v>19</v>
      </c>
      <c r="E14" s="15" t="s">
        <v>40</v>
      </c>
      <c r="F14" s="15" t="s">
        <v>41</v>
      </c>
      <c r="G14" s="44" t="s">
        <v>22</v>
      </c>
      <c r="H14" s="45" t="s">
        <v>23</v>
      </c>
      <c r="I14" s="16">
        <v>1</v>
      </c>
      <c r="J14" s="16">
        <v>153794.64000000001</v>
      </c>
      <c r="K14" s="16">
        <f>I14*J14</f>
        <v>153794.64000000001</v>
      </c>
      <c r="L14" s="16"/>
      <c r="M14" s="17"/>
      <c r="N14" s="16"/>
      <c r="O14" s="44" t="s">
        <v>27</v>
      </c>
      <c r="P14" s="18"/>
      <c r="Q14" s="19"/>
      <c r="R14" s="21"/>
    </row>
    <row r="15" spans="2:18" ht="26.25" customHeight="1" x14ac:dyDescent="0.2">
      <c r="B15" s="14" t="s">
        <v>18</v>
      </c>
      <c r="C15" s="15" t="s">
        <v>19</v>
      </c>
      <c r="D15" s="15" t="s">
        <v>19</v>
      </c>
      <c r="E15" s="15" t="s">
        <v>42</v>
      </c>
      <c r="F15" s="15" t="s">
        <v>43</v>
      </c>
      <c r="G15" s="44" t="s">
        <v>22</v>
      </c>
      <c r="H15" s="45" t="s">
        <v>23</v>
      </c>
      <c r="I15" s="16">
        <v>1</v>
      </c>
      <c r="J15" s="16">
        <v>153794.64000000001</v>
      </c>
      <c r="K15" s="16">
        <f>I15*J15</f>
        <v>153794.64000000001</v>
      </c>
      <c r="L15" s="16"/>
      <c r="M15" s="17"/>
      <c r="N15" s="16"/>
      <c r="O15" s="44" t="s">
        <v>27</v>
      </c>
      <c r="P15" s="18"/>
      <c r="Q15" s="19"/>
      <c r="R15" s="21"/>
    </row>
    <row r="16" spans="2:18" ht="32.25" customHeight="1" x14ac:dyDescent="0.2">
      <c r="B16" s="14" t="s">
        <v>18</v>
      </c>
      <c r="C16" s="15" t="s">
        <v>19</v>
      </c>
      <c r="D16" s="15" t="s">
        <v>19</v>
      </c>
      <c r="E16" s="15" t="s">
        <v>44</v>
      </c>
      <c r="F16" s="15" t="s">
        <v>45</v>
      </c>
      <c r="G16" s="44" t="s">
        <v>22</v>
      </c>
      <c r="H16" s="45" t="s">
        <v>23</v>
      </c>
      <c r="I16" s="16">
        <v>5</v>
      </c>
      <c r="J16" s="16">
        <f>113400-24610</f>
        <v>88790</v>
      </c>
      <c r="K16" s="16">
        <f t="shared" ref="K16:K45" si="1">I16*J16</f>
        <v>443950</v>
      </c>
      <c r="L16" s="16"/>
      <c r="M16" s="17"/>
      <c r="N16" s="16"/>
      <c r="O16" s="44" t="s">
        <v>27</v>
      </c>
      <c r="P16" s="18"/>
    </row>
    <row r="17" spans="2:17" ht="26.25" customHeight="1" x14ac:dyDescent="0.2">
      <c r="B17" s="14" t="s">
        <v>18</v>
      </c>
      <c r="C17" s="15" t="s">
        <v>19</v>
      </c>
      <c r="D17" s="15" t="s">
        <v>19</v>
      </c>
      <c r="E17" s="15" t="s">
        <v>46</v>
      </c>
      <c r="F17" s="15" t="s">
        <v>47</v>
      </c>
      <c r="G17" s="44" t="s">
        <v>22</v>
      </c>
      <c r="H17" s="45" t="s">
        <v>23</v>
      </c>
      <c r="I17" s="16">
        <v>3</v>
      </c>
      <c r="J17" s="16">
        <v>53900</v>
      </c>
      <c r="K17" s="16">
        <f t="shared" si="1"/>
        <v>161700</v>
      </c>
      <c r="L17" s="16"/>
      <c r="M17" s="17"/>
      <c r="N17" s="16"/>
      <c r="O17" s="44" t="s">
        <v>27</v>
      </c>
      <c r="P17" s="18"/>
    </row>
    <row r="18" spans="2:17" ht="25.5" customHeight="1" x14ac:dyDescent="0.2">
      <c r="B18" s="14" t="s">
        <v>18</v>
      </c>
      <c r="C18" s="15" t="s">
        <v>48</v>
      </c>
      <c r="D18" s="15" t="s">
        <v>48</v>
      </c>
      <c r="E18" s="15" t="s">
        <v>49</v>
      </c>
      <c r="F18" s="15" t="s">
        <v>50</v>
      </c>
      <c r="G18" s="44" t="s">
        <v>22</v>
      </c>
      <c r="H18" s="45" t="s">
        <v>23</v>
      </c>
      <c r="I18" s="16">
        <v>1</v>
      </c>
      <c r="J18" s="16">
        <f>175500-53180</f>
        <v>122320</v>
      </c>
      <c r="K18" s="16">
        <f>I18*J18</f>
        <v>122320</v>
      </c>
      <c r="L18" s="16"/>
      <c r="M18" s="17"/>
      <c r="N18" s="16"/>
      <c r="O18" s="44" t="s">
        <v>27</v>
      </c>
      <c r="P18" s="18"/>
    </row>
    <row r="19" spans="2:17" ht="26.25" customHeight="1" x14ac:dyDescent="0.2">
      <c r="B19" s="14" t="s">
        <v>18</v>
      </c>
      <c r="C19" s="15" t="s">
        <v>19</v>
      </c>
      <c r="D19" s="15" t="s">
        <v>19</v>
      </c>
      <c r="E19" s="15" t="s">
        <v>51</v>
      </c>
      <c r="F19" s="15" t="s">
        <v>52</v>
      </c>
      <c r="G19" s="44" t="s">
        <v>22</v>
      </c>
      <c r="H19" s="45" t="s">
        <v>23</v>
      </c>
      <c r="I19" s="16">
        <v>15</v>
      </c>
      <c r="J19" s="16">
        <f>66500-13500</f>
        <v>53000</v>
      </c>
      <c r="K19" s="16">
        <f>I19*J19</f>
        <v>795000</v>
      </c>
      <c r="L19" s="16"/>
      <c r="M19" s="17"/>
      <c r="N19" s="16"/>
      <c r="O19" s="44" t="s">
        <v>53</v>
      </c>
      <c r="P19" s="18"/>
    </row>
    <row r="20" spans="2:17" ht="25.5" x14ac:dyDescent="0.2">
      <c r="B20" s="14" t="s">
        <v>18</v>
      </c>
      <c r="C20" s="15" t="s">
        <v>54</v>
      </c>
      <c r="D20" s="15" t="s">
        <v>54</v>
      </c>
      <c r="E20" s="15" t="s">
        <v>55</v>
      </c>
      <c r="F20" s="15" t="s">
        <v>56</v>
      </c>
      <c r="G20" s="44" t="s">
        <v>22</v>
      </c>
      <c r="H20" s="45" t="s">
        <v>23</v>
      </c>
      <c r="I20" s="16">
        <v>6</v>
      </c>
      <c r="J20" s="16">
        <f>85250-9750</f>
        <v>75500</v>
      </c>
      <c r="K20" s="16">
        <f>I20*J20</f>
        <v>453000</v>
      </c>
      <c r="L20" s="16"/>
      <c r="M20" s="17"/>
      <c r="N20" s="16"/>
      <c r="O20" s="44" t="s">
        <v>53</v>
      </c>
      <c r="P20" s="18"/>
      <c r="Q20" s="19"/>
    </row>
    <row r="21" spans="2:17" ht="22.5" customHeight="1" x14ac:dyDescent="0.2">
      <c r="B21" s="14" t="s">
        <v>18</v>
      </c>
      <c r="C21" s="15" t="s">
        <v>57</v>
      </c>
      <c r="D21" s="15" t="s">
        <v>58</v>
      </c>
      <c r="E21" s="15" t="s">
        <v>59</v>
      </c>
      <c r="F21" s="22" t="s">
        <v>60</v>
      </c>
      <c r="G21" s="44" t="s">
        <v>22</v>
      </c>
      <c r="H21" s="45" t="s">
        <v>61</v>
      </c>
      <c r="I21" s="16">
        <v>12</v>
      </c>
      <c r="J21" s="16">
        <v>93750</v>
      </c>
      <c r="K21" s="16">
        <f t="shared" si="1"/>
        <v>1125000</v>
      </c>
      <c r="L21" s="16"/>
      <c r="M21" s="17"/>
      <c r="N21" s="16"/>
      <c r="O21" s="44" t="s">
        <v>24</v>
      </c>
      <c r="P21" s="18"/>
    </row>
    <row r="22" spans="2:17" ht="23.25" customHeight="1" x14ac:dyDescent="0.2">
      <c r="B22" s="14" t="s">
        <v>18</v>
      </c>
      <c r="C22" s="15" t="s">
        <v>57</v>
      </c>
      <c r="D22" s="15" t="s">
        <v>58</v>
      </c>
      <c r="E22" s="15" t="s">
        <v>62</v>
      </c>
      <c r="F22" s="22" t="s">
        <v>63</v>
      </c>
      <c r="G22" s="44" t="s">
        <v>22</v>
      </c>
      <c r="H22" s="45" t="s">
        <v>23</v>
      </c>
      <c r="I22" s="16">
        <v>50</v>
      </c>
      <c r="J22" s="16">
        <v>3525</v>
      </c>
      <c r="K22" s="16">
        <f>I22*J22</f>
        <v>176250</v>
      </c>
      <c r="L22" s="16"/>
      <c r="M22" s="17"/>
      <c r="N22" s="16"/>
      <c r="O22" s="44" t="s">
        <v>24</v>
      </c>
      <c r="P22" s="18"/>
    </row>
    <row r="23" spans="2:17" ht="22.5" customHeight="1" x14ac:dyDescent="0.2">
      <c r="B23" s="14" t="s">
        <v>18</v>
      </c>
      <c r="C23" s="15" t="s">
        <v>57</v>
      </c>
      <c r="D23" s="15" t="s">
        <v>58</v>
      </c>
      <c r="E23" s="15" t="s">
        <v>64</v>
      </c>
      <c r="F23" s="22" t="s">
        <v>65</v>
      </c>
      <c r="G23" s="44" t="s">
        <v>22</v>
      </c>
      <c r="H23" s="45" t="s">
        <v>23</v>
      </c>
      <c r="I23" s="16">
        <v>150</v>
      </c>
      <c r="J23" s="16">
        <v>2180.36</v>
      </c>
      <c r="K23" s="16">
        <f>I23*J23</f>
        <v>327054</v>
      </c>
      <c r="L23" s="16"/>
      <c r="M23" s="17"/>
      <c r="N23" s="16"/>
      <c r="O23" s="44" t="s">
        <v>24</v>
      </c>
      <c r="P23" s="18"/>
    </row>
    <row r="24" spans="2:17" ht="24.75" customHeight="1" x14ac:dyDescent="0.2">
      <c r="B24" s="14" t="s">
        <v>18</v>
      </c>
      <c r="C24" s="15" t="s">
        <v>57</v>
      </c>
      <c r="D24" s="15" t="s">
        <v>58</v>
      </c>
      <c r="E24" s="15" t="s">
        <v>66</v>
      </c>
      <c r="F24" s="22" t="s">
        <v>67</v>
      </c>
      <c r="G24" s="44" t="s">
        <v>22</v>
      </c>
      <c r="H24" s="45" t="s">
        <v>23</v>
      </c>
      <c r="I24" s="16">
        <v>150</v>
      </c>
      <c r="J24" s="16">
        <v>1155.3599999999999</v>
      </c>
      <c r="K24" s="16">
        <f>I24*J24</f>
        <v>173303.99999999997</v>
      </c>
      <c r="L24" s="16"/>
      <c r="M24" s="17"/>
      <c r="N24" s="16"/>
      <c r="O24" s="44" t="s">
        <v>24</v>
      </c>
      <c r="P24" s="18"/>
    </row>
    <row r="25" spans="2:17" ht="24.75" customHeight="1" x14ac:dyDescent="0.2">
      <c r="B25" s="14" t="s">
        <v>18</v>
      </c>
      <c r="C25" s="15" t="s">
        <v>57</v>
      </c>
      <c r="D25" s="15" t="s">
        <v>58</v>
      </c>
      <c r="E25" s="15" t="s">
        <v>68</v>
      </c>
      <c r="F25" s="22" t="s">
        <v>69</v>
      </c>
      <c r="G25" s="44" t="s">
        <v>22</v>
      </c>
      <c r="H25" s="45" t="s">
        <v>23</v>
      </c>
      <c r="I25" s="16">
        <v>50</v>
      </c>
      <c r="J25" s="16">
        <v>5074.1099999999997</v>
      </c>
      <c r="K25" s="16">
        <f>I25*J25</f>
        <v>253705.49999999997</v>
      </c>
      <c r="L25" s="16"/>
      <c r="M25" s="17"/>
      <c r="N25" s="16"/>
      <c r="O25" s="44" t="s">
        <v>24</v>
      </c>
      <c r="P25" s="18"/>
    </row>
    <row r="26" spans="2:17" ht="24" customHeight="1" x14ac:dyDescent="0.2">
      <c r="B26" s="14" t="s">
        <v>18</v>
      </c>
      <c r="C26" s="15" t="s">
        <v>70</v>
      </c>
      <c r="D26" s="15" t="s">
        <v>70</v>
      </c>
      <c r="E26" s="15" t="s">
        <v>71</v>
      </c>
      <c r="F26" s="15" t="s">
        <v>72</v>
      </c>
      <c r="G26" s="44" t="s">
        <v>73</v>
      </c>
      <c r="H26" s="45" t="s">
        <v>23</v>
      </c>
      <c r="I26" s="16">
        <v>200</v>
      </c>
      <c r="J26" s="16">
        <v>47.54</v>
      </c>
      <c r="K26" s="16">
        <f t="shared" si="1"/>
        <v>9508</v>
      </c>
      <c r="L26" s="16"/>
      <c r="M26" s="16"/>
      <c r="N26" s="16"/>
      <c r="O26" s="44" t="s">
        <v>24</v>
      </c>
      <c r="P26" s="18"/>
    </row>
    <row r="27" spans="2:17" ht="24" customHeight="1" x14ac:dyDescent="0.2">
      <c r="B27" s="14" t="s">
        <v>18</v>
      </c>
      <c r="C27" s="15" t="s">
        <v>57</v>
      </c>
      <c r="D27" s="15" t="s">
        <v>58</v>
      </c>
      <c r="E27" s="23" t="s">
        <v>74</v>
      </c>
      <c r="F27" s="24" t="s">
        <v>75</v>
      </c>
      <c r="G27" s="44" t="s">
        <v>73</v>
      </c>
      <c r="H27" s="44" t="s">
        <v>76</v>
      </c>
      <c r="I27" s="18">
        <v>60</v>
      </c>
      <c r="J27" s="16">
        <v>319.64</v>
      </c>
      <c r="K27" s="16">
        <f t="shared" si="1"/>
        <v>19178.399999999998</v>
      </c>
      <c r="L27" s="16"/>
      <c r="M27" s="16"/>
      <c r="N27" s="16"/>
      <c r="O27" s="44" t="s">
        <v>24</v>
      </c>
      <c r="P27" s="18"/>
    </row>
    <row r="28" spans="2:17" ht="24" customHeight="1" x14ac:dyDescent="0.2">
      <c r="B28" s="14" t="s">
        <v>18</v>
      </c>
      <c r="C28" s="15" t="s">
        <v>57</v>
      </c>
      <c r="D28" s="15" t="s">
        <v>58</v>
      </c>
      <c r="E28" s="23" t="s">
        <v>77</v>
      </c>
      <c r="F28" s="24" t="s">
        <v>78</v>
      </c>
      <c r="G28" s="44" t="s">
        <v>73</v>
      </c>
      <c r="H28" s="44" t="s">
        <v>76</v>
      </c>
      <c r="I28" s="18">
        <v>60</v>
      </c>
      <c r="J28" s="16">
        <v>3482.16</v>
      </c>
      <c r="K28" s="16">
        <f t="shared" si="1"/>
        <v>208929.59999999998</v>
      </c>
      <c r="L28" s="16"/>
      <c r="M28" s="16"/>
      <c r="N28" s="16"/>
      <c r="O28" s="44" t="s">
        <v>24</v>
      </c>
      <c r="P28" s="18"/>
    </row>
    <row r="29" spans="2:17" ht="22.5" customHeight="1" x14ac:dyDescent="0.2">
      <c r="B29" s="14" t="s">
        <v>18</v>
      </c>
      <c r="C29" s="15" t="s">
        <v>79</v>
      </c>
      <c r="D29" s="15" t="s">
        <v>80</v>
      </c>
      <c r="E29" s="22" t="s">
        <v>81</v>
      </c>
      <c r="F29" s="15" t="s">
        <v>82</v>
      </c>
      <c r="G29" s="44" t="s">
        <v>73</v>
      </c>
      <c r="H29" s="45" t="s">
        <v>83</v>
      </c>
      <c r="I29" s="16">
        <v>20</v>
      </c>
      <c r="J29" s="16">
        <v>356.58</v>
      </c>
      <c r="K29" s="16">
        <f>I29*J29</f>
        <v>7131.5999999999995</v>
      </c>
      <c r="L29" s="16"/>
      <c r="M29" s="16"/>
      <c r="N29" s="16"/>
      <c r="O29" s="44" t="s">
        <v>24</v>
      </c>
      <c r="P29" s="18"/>
    </row>
    <row r="30" spans="2:17" ht="20.25" customHeight="1" x14ac:dyDescent="0.2">
      <c r="B30" s="14" t="s">
        <v>18</v>
      </c>
      <c r="C30" s="15" t="s">
        <v>79</v>
      </c>
      <c r="D30" s="15" t="s">
        <v>80</v>
      </c>
      <c r="E30" s="15" t="s">
        <v>84</v>
      </c>
      <c r="F30" s="15" t="s">
        <v>85</v>
      </c>
      <c r="G30" s="44" t="s">
        <v>73</v>
      </c>
      <c r="H30" s="45" t="s">
        <v>83</v>
      </c>
      <c r="I30" s="16">
        <v>20</v>
      </c>
      <c r="J30" s="16">
        <v>1131.56</v>
      </c>
      <c r="K30" s="16">
        <f t="shared" si="1"/>
        <v>22631.199999999997</v>
      </c>
      <c r="L30" s="16"/>
      <c r="M30" s="16"/>
      <c r="N30" s="16"/>
      <c r="O30" s="44" t="s">
        <v>24</v>
      </c>
      <c r="P30" s="18"/>
    </row>
    <row r="31" spans="2:17" ht="24" customHeight="1" x14ac:dyDescent="0.2">
      <c r="B31" s="14" t="s">
        <v>18</v>
      </c>
      <c r="C31" s="15" t="s">
        <v>79</v>
      </c>
      <c r="D31" s="15" t="s">
        <v>80</v>
      </c>
      <c r="E31" s="15" t="s">
        <v>86</v>
      </c>
      <c r="F31" s="15" t="s">
        <v>87</v>
      </c>
      <c r="G31" s="44" t="s">
        <v>73</v>
      </c>
      <c r="H31" s="45" t="s">
        <v>83</v>
      </c>
      <c r="I31" s="16">
        <v>20</v>
      </c>
      <c r="J31" s="16">
        <v>1131.56</v>
      </c>
      <c r="K31" s="16">
        <f t="shared" si="1"/>
        <v>22631.199999999997</v>
      </c>
      <c r="L31" s="16"/>
      <c r="M31" s="16"/>
      <c r="N31" s="16"/>
      <c r="O31" s="44" t="s">
        <v>24</v>
      </c>
      <c r="P31" s="18"/>
    </row>
    <row r="32" spans="2:17" ht="21.75" customHeight="1" x14ac:dyDescent="0.2">
      <c r="B32" s="14" t="s">
        <v>18</v>
      </c>
      <c r="C32" s="15" t="s">
        <v>88</v>
      </c>
      <c r="D32" s="15" t="s">
        <v>89</v>
      </c>
      <c r="E32" s="15" t="s">
        <v>90</v>
      </c>
      <c r="F32" s="15" t="s">
        <v>91</v>
      </c>
      <c r="G32" s="44" t="s">
        <v>73</v>
      </c>
      <c r="H32" s="45" t="s">
        <v>23</v>
      </c>
      <c r="I32" s="16">
        <v>20</v>
      </c>
      <c r="J32" s="16">
        <v>3794.06</v>
      </c>
      <c r="K32" s="16">
        <f t="shared" si="1"/>
        <v>75881.2</v>
      </c>
      <c r="L32" s="16"/>
      <c r="M32" s="16"/>
      <c r="N32" s="16"/>
      <c r="O32" s="44" t="s">
        <v>24</v>
      </c>
      <c r="P32" s="18"/>
    </row>
    <row r="33" spans="2:17" ht="25.5" customHeight="1" x14ac:dyDescent="0.2">
      <c r="B33" s="14" t="s">
        <v>18</v>
      </c>
      <c r="C33" s="15" t="s">
        <v>92</v>
      </c>
      <c r="D33" s="15" t="s">
        <v>92</v>
      </c>
      <c r="E33" s="15" t="s">
        <v>93</v>
      </c>
      <c r="F33" s="15" t="s">
        <v>94</v>
      </c>
      <c r="G33" s="44" t="s">
        <v>73</v>
      </c>
      <c r="H33" s="45" t="s">
        <v>23</v>
      </c>
      <c r="I33" s="16">
        <v>10</v>
      </c>
      <c r="J33" s="16">
        <v>2938.26</v>
      </c>
      <c r="K33" s="16">
        <f t="shared" si="1"/>
        <v>29382.600000000002</v>
      </c>
      <c r="L33" s="16"/>
      <c r="M33" s="16"/>
      <c r="N33" s="16"/>
      <c r="O33" s="44" t="s">
        <v>24</v>
      </c>
      <c r="P33" s="18"/>
    </row>
    <row r="34" spans="2:17" ht="28.5" customHeight="1" x14ac:dyDescent="0.2">
      <c r="B34" s="14" t="s">
        <v>18</v>
      </c>
      <c r="C34" s="15" t="s">
        <v>92</v>
      </c>
      <c r="D34" s="15" t="s">
        <v>92</v>
      </c>
      <c r="E34" s="15" t="s">
        <v>95</v>
      </c>
      <c r="F34" s="15" t="s">
        <v>96</v>
      </c>
      <c r="G34" s="44" t="s">
        <v>73</v>
      </c>
      <c r="H34" s="45" t="s">
        <v>83</v>
      </c>
      <c r="I34" s="16">
        <v>100</v>
      </c>
      <c r="J34" s="16">
        <v>638.39</v>
      </c>
      <c r="K34" s="16">
        <f t="shared" si="1"/>
        <v>63839</v>
      </c>
      <c r="L34" s="16"/>
      <c r="M34" s="16"/>
      <c r="N34" s="16"/>
      <c r="O34" s="44" t="s">
        <v>24</v>
      </c>
      <c r="P34" s="18"/>
    </row>
    <row r="35" spans="2:17" ht="29.25" customHeight="1" x14ac:dyDescent="0.2">
      <c r="B35" s="14" t="s">
        <v>18</v>
      </c>
      <c r="C35" s="15" t="s">
        <v>92</v>
      </c>
      <c r="D35" s="15" t="s">
        <v>92</v>
      </c>
      <c r="E35" s="15" t="s">
        <v>97</v>
      </c>
      <c r="F35" s="15" t="s">
        <v>98</v>
      </c>
      <c r="G35" s="44" t="s">
        <v>73</v>
      </c>
      <c r="H35" s="45" t="s">
        <v>83</v>
      </c>
      <c r="I35" s="16">
        <v>100</v>
      </c>
      <c r="J35" s="16">
        <v>638.39</v>
      </c>
      <c r="K35" s="16">
        <f t="shared" si="1"/>
        <v>63839</v>
      </c>
      <c r="L35" s="16"/>
      <c r="M35" s="16"/>
      <c r="N35" s="16"/>
      <c r="O35" s="44" t="s">
        <v>24</v>
      </c>
      <c r="P35" s="18"/>
    </row>
    <row r="36" spans="2:17" ht="27" customHeight="1" x14ac:dyDescent="0.2">
      <c r="B36" s="14" t="s">
        <v>18</v>
      </c>
      <c r="C36" s="15" t="s">
        <v>99</v>
      </c>
      <c r="D36" s="15" t="s">
        <v>100</v>
      </c>
      <c r="E36" s="15" t="s">
        <v>101</v>
      </c>
      <c r="F36" s="15" t="s">
        <v>101</v>
      </c>
      <c r="G36" s="44" t="s">
        <v>73</v>
      </c>
      <c r="H36" s="45" t="s">
        <v>23</v>
      </c>
      <c r="I36" s="16">
        <v>70</v>
      </c>
      <c r="J36" s="16">
        <v>228.21</v>
      </c>
      <c r="K36" s="16">
        <f t="shared" si="1"/>
        <v>15974.7</v>
      </c>
      <c r="L36" s="16"/>
      <c r="M36" s="16"/>
      <c r="N36" s="16"/>
      <c r="O36" s="44" t="s">
        <v>24</v>
      </c>
      <c r="P36" s="18"/>
    </row>
    <row r="37" spans="2:17" ht="21" customHeight="1" x14ac:dyDescent="0.2">
      <c r="B37" s="14" t="s">
        <v>18</v>
      </c>
      <c r="C37" s="15" t="s">
        <v>102</v>
      </c>
      <c r="D37" s="15" t="s">
        <v>102</v>
      </c>
      <c r="E37" s="15" t="s">
        <v>103</v>
      </c>
      <c r="F37" s="15" t="s">
        <v>104</v>
      </c>
      <c r="G37" s="44" t="s">
        <v>73</v>
      </c>
      <c r="H37" s="45" t="s">
        <v>23</v>
      </c>
      <c r="I37" s="16">
        <v>15</v>
      </c>
      <c r="J37" s="16">
        <v>2333.4899999999998</v>
      </c>
      <c r="K37" s="16">
        <f t="shared" si="1"/>
        <v>35002.35</v>
      </c>
      <c r="L37" s="16"/>
      <c r="M37" s="16"/>
      <c r="N37" s="16"/>
      <c r="O37" s="44" t="s">
        <v>24</v>
      </c>
      <c r="P37" s="18"/>
    </row>
    <row r="38" spans="2:17" ht="25.5" x14ac:dyDescent="0.2">
      <c r="B38" s="14" t="s">
        <v>18</v>
      </c>
      <c r="C38" s="15" t="s">
        <v>105</v>
      </c>
      <c r="D38" s="15" t="s">
        <v>106</v>
      </c>
      <c r="E38" s="15" t="s">
        <v>107</v>
      </c>
      <c r="F38" s="15" t="s">
        <v>108</v>
      </c>
      <c r="G38" s="44" t="s">
        <v>73</v>
      </c>
      <c r="H38" s="45" t="s">
        <v>83</v>
      </c>
      <c r="I38" s="16">
        <v>16</v>
      </c>
      <c r="J38" s="16">
        <v>729.04</v>
      </c>
      <c r="K38" s="16">
        <f t="shared" si="1"/>
        <v>11664.64</v>
      </c>
      <c r="L38" s="16"/>
      <c r="M38" s="16"/>
      <c r="N38" s="16"/>
      <c r="O38" s="44" t="s">
        <v>24</v>
      </c>
      <c r="P38" s="18"/>
    </row>
    <row r="39" spans="2:17" ht="24.75" customHeight="1" x14ac:dyDescent="0.2">
      <c r="B39" s="14" t="s">
        <v>18</v>
      </c>
      <c r="C39" s="15" t="s">
        <v>105</v>
      </c>
      <c r="D39" s="15" t="s">
        <v>106</v>
      </c>
      <c r="E39" s="15" t="s">
        <v>109</v>
      </c>
      <c r="F39" s="15" t="s">
        <v>110</v>
      </c>
      <c r="G39" s="44" t="s">
        <v>73</v>
      </c>
      <c r="H39" s="45" t="s">
        <v>83</v>
      </c>
      <c r="I39" s="16">
        <v>50</v>
      </c>
      <c r="J39" s="16">
        <v>3669.5</v>
      </c>
      <c r="K39" s="16">
        <f t="shared" si="1"/>
        <v>183475</v>
      </c>
      <c r="L39" s="16"/>
      <c r="M39" s="16"/>
      <c r="N39" s="16"/>
      <c r="O39" s="44" t="s">
        <v>24</v>
      </c>
      <c r="P39" s="18"/>
    </row>
    <row r="40" spans="2:17" ht="18.75" customHeight="1" x14ac:dyDescent="0.2">
      <c r="B40" s="14" t="s">
        <v>18</v>
      </c>
      <c r="C40" s="15" t="s">
        <v>105</v>
      </c>
      <c r="D40" s="15" t="s">
        <v>106</v>
      </c>
      <c r="E40" s="15" t="s">
        <v>111</v>
      </c>
      <c r="F40" s="15" t="s">
        <v>112</v>
      </c>
      <c r="G40" s="44" t="s">
        <v>73</v>
      </c>
      <c r="H40" s="45" t="s">
        <v>83</v>
      </c>
      <c r="I40" s="16">
        <v>45</v>
      </c>
      <c r="J40" s="16">
        <v>1740.13</v>
      </c>
      <c r="K40" s="16">
        <f t="shared" si="1"/>
        <v>78305.850000000006</v>
      </c>
      <c r="L40" s="16"/>
      <c r="M40" s="16"/>
      <c r="N40" s="16"/>
      <c r="O40" s="44" t="s">
        <v>24</v>
      </c>
      <c r="P40" s="18"/>
    </row>
    <row r="41" spans="2:17" ht="24.75" customHeight="1" x14ac:dyDescent="0.2">
      <c r="B41" s="14" t="s">
        <v>18</v>
      </c>
      <c r="C41" s="15" t="s">
        <v>113</v>
      </c>
      <c r="D41" s="15" t="s">
        <v>114</v>
      </c>
      <c r="E41" s="15" t="s">
        <v>115</v>
      </c>
      <c r="F41" s="15" t="s">
        <v>116</v>
      </c>
      <c r="G41" s="44" t="s">
        <v>73</v>
      </c>
      <c r="H41" s="45" t="s">
        <v>23</v>
      </c>
      <c r="I41" s="16">
        <v>20</v>
      </c>
      <c r="J41" s="16">
        <v>2282.14</v>
      </c>
      <c r="K41" s="16">
        <f t="shared" si="1"/>
        <v>45642.799999999996</v>
      </c>
      <c r="L41" s="16"/>
      <c r="M41" s="16"/>
      <c r="N41" s="16"/>
      <c r="O41" s="44" t="s">
        <v>24</v>
      </c>
      <c r="P41" s="18"/>
    </row>
    <row r="42" spans="2:17" ht="27" customHeight="1" x14ac:dyDescent="0.2">
      <c r="B42" s="14" t="s">
        <v>18</v>
      </c>
      <c r="C42" s="15" t="s">
        <v>117</v>
      </c>
      <c r="D42" s="15" t="s">
        <v>118</v>
      </c>
      <c r="E42" s="15" t="s">
        <v>119</v>
      </c>
      <c r="F42" s="15" t="s">
        <v>120</v>
      </c>
      <c r="G42" s="44" t="s">
        <v>73</v>
      </c>
      <c r="H42" s="45" t="s">
        <v>23</v>
      </c>
      <c r="I42" s="16">
        <v>10</v>
      </c>
      <c r="J42" s="16">
        <v>3299.6</v>
      </c>
      <c r="K42" s="16">
        <f t="shared" si="1"/>
        <v>32996</v>
      </c>
      <c r="L42" s="16"/>
      <c r="M42" s="16"/>
      <c r="N42" s="16"/>
      <c r="O42" s="44" t="s">
        <v>24</v>
      </c>
      <c r="P42" s="18"/>
    </row>
    <row r="43" spans="2:17" ht="27.75" customHeight="1" x14ac:dyDescent="0.2">
      <c r="B43" s="14" t="s">
        <v>18</v>
      </c>
      <c r="C43" s="15" t="s">
        <v>117</v>
      </c>
      <c r="D43" s="15" t="s">
        <v>118</v>
      </c>
      <c r="E43" s="15" t="s">
        <v>121</v>
      </c>
      <c r="F43" s="15" t="s">
        <v>122</v>
      </c>
      <c r="G43" s="44" t="s">
        <v>73</v>
      </c>
      <c r="H43" s="45" t="s">
        <v>23</v>
      </c>
      <c r="I43" s="16">
        <v>10</v>
      </c>
      <c r="J43" s="16">
        <v>1202.8800000000001</v>
      </c>
      <c r="K43" s="16">
        <f t="shared" si="1"/>
        <v>12028.800000000001</v>
      </c>
      <c r="L43" s="16"/>
      <c r="M43" s="16"/>
      <c r="N43" s="16"/>
      <c r="O43" s="44" t="s">
        <v>24</v>
      </c>
      <c r="P43" s="18"/>
    </row>
    <row r="44" spans="2:17" ht="25.5" customHeight="1" x14ac:dyDescent="0.2">
      <c r="B44" s="14" t="s">
        <v>18</v>
      </c>
      <c r="C44" s="15" t="s">
        <v>123</v>
      </c>
      <c r="D44" s="15" t="s">
        <v>124</v>
      </c>
      <c r="E44" s="15" t="s">
        <v>125</v>
      </c>
      <c r="F44" s="15" t="s">
        <v>126</v>
      </c>
      <c r="G44" s="44" t="s">
        <v>73</v>
      </c>
      <c r="H44" s="45" t="s">
        <v>23</v>
      </c>
      <c r="I44" s="16">
        <v>15</v>
      </c>
      <c r="J44" s="16">
        <v>213.95</v>
      </c>
      <c r="K44" s="16">
        <f t="shared" si="1"/>
        <v>3209.25</v>
      </c>
      <c r="L44" s="16"/>
      <c r="M44" s="16"/>
      <c r="N44" s="16"/>
      <c r="O44" s="44" t="s">
        <v>24</v>
      </c>
      <c r="P44" s="18"/>
    </row>
    <row r="45" spans="2:17" ht="22.5" customHeight="1" x14ac:dyDescent="0.2">
      <c r="B45" s="14" t="s">
        <v>18</v>
      </c>
      <c r="C45" s="15" t="s">
        <v>127</v>
      </c>
      <c r="D45" s="15" t="s">
        <v>127</v>
      </c>
      <c r="E45" s="15" t="s">
        <v>127</v>
      </c>
      <c r="F45" s="15" t="s">
        <v>127</v>
      </c>
      <c r="G45" s="44" t="s">
        <v>73</v>
      </c>
      <c r="H45" s="45" t="s">
        <v>23</v>
      </c>
      <c r="I45" s="16">
        <v>20</v>
      </c>
      <c r="J45" s="16">
        <v>808.26</v>
      </c>
      <c r="K45" s="16">
        <f t="shared" si="1"/>
        <v>16165.2</v>
      </c>
      <c r="L45" s="16"/>
      <c r="M45" s="16"/>
      <c r="N45" s="16"/>
      <c r="O45" s="44" t="s">
        <v>24</v>
      </c>
      <c r="P45" s="18"/>
    </row>
    <row r="46" spans="2:17" ht="26.25" customHeight="1" x14ac:dyDescent="0.2">
      <c r="B46" s="14" t="s">
        <v>18</v>
      </c>
      <c r="C46" s="15" t="s">
        <v>128</v>
      </c>
      <c r="D46" s="15" t="s">
        <v>129</v>
      </c>
      <c r="E46" s="15" t="s">
        <v>130</v>
      </c>
      <c r="F46" s="15" t="s">
        <v>131</v>
      </c>
      <c r="G46" s="44" t="s">
        <v>73</v>
      </c>
      <c r="H46" s="45" t="s">
        <v>132</v>
      </c>
      <c r="I46" s="16">
        <v>3</v>
      </c>
      <c r="J46" s="16">
        <f>2785.7+1414.3</f>
        <v>4200</v>
      </c>
      <c r="K46" s="16">
        <f>I46*J46</f>
        <v>12600</v>
      </c>
      <c r="L46" s="16"/>
      <c r="M46" s="17"/>
      <c r="N46" s="16"/>
      <c r="O46" s="44" t="s">
        <v>53</v>
      </c>
      <c r="P46" s="18"/>
      <c r="Q46" s="2"/>
    </row>
    <row r="47" spans="2:17" ht="30" customHeight="1" x14ac:dyDescent="0.2">
      <c r="B47" s="14" t="s">
        <v>18</v>
      </c>
      <c r="C47" s="15" t="s">
        <v>128</v>
      </c>
      <c r="D47" s="15" t="s">
        <v>129</v>
      </c>
      <c r="E47" s="15" t="s">
        <v>133</v>
      </c>
      <c r="F47" s="15" t="s">
        <v>134</v>
      </c>
      <c r="G47" s="44" t="s">
        <v>73</v>
      </c>
      <c r="H47" s="45" t="s">
        <v>132</v>
      </c>
      <c r="I47" s="16">
        <f>535+165</f>
        <v>700</v>
      </c>
      <c r="J47" s="16">
        <f>1388.39+411.61+164.28-133.92</f>
        <v>1830.36</v>
      </c>
      <c r="K47" s="16">
        <f>I47*J47</f>
        <v>1281252</v>
      </c>
      <c r="L47" s="16"/>
      <c r="M47" s="17"/>
      <c r="N47" s="16"/>
      <c r="O47" s="44" t="s">
        <v>53</v>
      </c>
      <c r="P47" s="18"/>
      <c r="Q47" s="2"/>
    </row>
    <row r="48" spans="2:17" ht="22.5" customHeight="1" x14ac:dyDescent="0.2">
      <c r="B48" s="14" t="s">
        <v>18</v>
      </c>
      <c r="C48" s="15" t="s">
        <v>135</v>
      </c>
      <c r="D48" s="15" t="s">
        <v>136</v>
      </c>
      <c r="E48" s="15" t="s">
        <v>137</v>
      </c>
      <c r="F48" s="15" t="s">
        <v>138</v>
      </c>
      <c r="G48" s="44" t="s">
        <v>22</v>
      </c>
      <c r="H48" s="45" t="s">
        <v>132</v>
      </c>
      <c r="I48" s="16">
        <v>1</v>
      </c>
      <c r="J48" s="16">
        <v>2285.6999999999998</v>
      </c>
      <c r="K48" s="16">
        <f t="shared" ref="K48:K102" si="2">I48*J48</f>
        <v>2285.6999999999998</v>
      </c>
      <c r="L48" s="16"/>
      <c r="M48" s="17"/>
      <c r="N48" s="16"/>
      <c r="O48" s="44" t="s">
        <v>53</v>
      </c>
      <c r="P48" s="18"/>
    </row>
    <row r="49" spans="2:16" ht="24" customHeight="1" x14ac:dyDescent="0.2">
      <c r="B49" s="14" t="s">
        <v>18</v>
      </c>
      <c r="C49" s="15" t="s">
        <v>135</v>
      </c>
      <c r="D49" s="15" t="s">
        <v>136</v>
      </c>
      <c r="E49" s="15" t="s">
        <v>139</v>
      </c>
      <c r="F49" s="15" t="s">
        <v>140</v>
      </c>
      <c r="G49" s="44" t="s">
        <v>22</v>
      </c>
      <c r="H49" s="45" t="s">
        <v>132</v>
      </c>
      <c r="I49" s="16">
        <v>1</v>
      </c>
      <c r="J49" s="16">
        <v>4018.79</v>
      </c>
      <c r="K49" s="16">
        <f t="shared" si="2"/>
        <v>4018.79</v>
      </c>
      <c r="L49" s="16"/>
      <c r="M49" s="17"/>
      <c r="N49" s="16"/>
      <c r="O49" s="44" t="s">
        <v>53</v>
      </c>
      <c r="P49" s="18"/>
    </row>
    <row r="50" spans="2:16" ht="22.5" customHeight="1" x14ac:dyDescent="0.2">
      <c r="B50" s="14" t="s">
        <v>18</v>
      </c>
      <c r="C50" s="15" t="s">
        <v>128</v>
      </c>
      <c r="D50" s="15" t="s">
        <v>129</v>
      </c>
      <c r="E50" s="25" t="s">
        <v>141</v>
      </c>
      <c r="F50" s="15" t="s">
        <v>142</v>
      </c>
      <c r="G50" s="44" t="s">
        <v>22</v>
      </c>
      <c r="H50" s="45" t="s">
        <v>132</v>
      </c>
      <c r="I50" s="16">
        <v>8</v>
      </c>
      <c r="J50" s="16">
        <v>3741</v>
      </c>
      <c r="K50" s="16">
        <f>I50*J50</f>
        <v>29928</v>
      </c>
      <c r="L50" s="16"/>
      <c r="M50" s="17"/>
      <c r="N50" s="16"/>
      <c r="O50" s="44" t="s">
        <v>53</v>
      </c>
      <c r="P50" s="18"/>
    </row>
    <row r="51" spans="2:16" ht="20.25" customHeight="1" x14ac:dyDescent="0.2">
      <c r="B51" s="14" t="s">
        <v>18</v>
      </c>
      <c r="C51" s="15" t="s">
        <v>143</v>
      </c>
      <c r="D51" s="15" t="s">
        <v>143</v>
      </c>
      <c r="E51" s="15" t="s">
        <v>144</v>
      </c>
      <c r="F51" s="15" t="s">
        <v>145</v>
      </c>
      <c r="G51" s="44" t="s">
        <v>22</v>
      </c>
      <c r="H51" s="45" t="s">
        <v>23</v>
      </c>
      <c r="I51" s="16">
        <v>2000</v>
      </c>
      <c r="J51" s="16">
        <v>80.36</v>
      </c>
      <c r="K51" s="16">
        <f t="shared" si="2"/>
        <v>160720</v>
      </c>
      <c r="L51" s="16"/>
      <c r="M51" s="17"/>
      <c r="N51" s="16"/>
      <c r="O51" s="44" t="s">
        <v>24</v>
      </c>
      <c r="P51" s="18"/>
    </row>
    <row r="52" spans="2:16" ht="26.25" customHeight="1" x14ac:dyDescent="0.2">
      <c r="B52" s="14" t="s">
        <v>18</v>
      </c>
      <c r="C52" s="15" t="s">
        <v>143</v>
      </c>
      <c r="D52" s="15" t="s">
        <v>143</v>
      </c>
      <c r="E52" s="15" t="s">
        <v>146</v>
      </c>
      <c r="F52" s="15" t="s">
        <v>147</v>
      </c>
      <c r="G52" s="44" t="s">
        <v>22</v>
      </c>
      <c r="H52" s="45" t="s">
        <v>23</v>
      </c>
      <c r="I52" s="16">
        <v>300</v>
      </c>
      <c r="J52" s="16">
        <v>53.57</v>
      </c>
      <c r="K52" s="16">
        <f t="shared" si="2"/>
        <v>16071</v>
      </c>
      <c r="L52" s="16"/>
      <c r="M52" s="17"/>
      <c r="N52" s="16"/>
      <c r="O52" s="44" t="s">
        <v>53</v>
      </c>
      <c r="P52" s="18"/>
    </row>
    <row r="53" spans="2:16" ht="24.75" customHeight="1" x14ac:dyDescent="0.2">
      <c r="B53" s="14" t="s">
        <v>18</v>
      </c>
      <c r="C53" s="15" t="s">
        <v>143</v>
      </c>
      <c r="D53" s="15" t="s">
        <v>143</v>
      </c>
      <c r="E53" s="15" t="s">
        <v>148</v>
      </c>
      <c r="F53" s="15" t="s">
        <v>149</v>
      </c>
      <c r="G53" s="44" t="s">
        <v>22</v>
      </c>
      <c r="H53" s="45" t="s">
        <v>23</v>
      </c>
      <c r="I53" s="16">
        <v>300</v>
      </c>
      <c r="J53" s="16">
        <v>75.89</v>
      </c>
      <c r="K53" s="16">
        <f t="shared" si="2"/>
        <v>22767</v>
      </c>
      <c r="L53" s="16"/>
      <c r="M53" s="17"/>
      <c r="N53" s="16"/>
      <c r="O53" s="44" t="s">
        <v>53</v>
      </c>
      <c r="P53" s="18"/>
    </row>
    <row r="54" spans="2:16" ht="21.75" customHeight="1" x14ac:dyDescent="0.2">
      <c r="B54" s="14" t="s">
        <v>18</v>
      </c>
      <c r="C54" s="15" t="s">
        <v>150</v>
      </c>
      <c r="D54" s="15" t="s">
        <v>150</v>
      </c>
      <c r="E54" s="15" t="s">
        <v>150</v>
      </c>
      <c r="F54" s="15" t="s">
        <v>150</v>
      </c>
      <c r="G54" s="44" t="s">
        <v>22</v>
      </c>
      <c r="H54" s="45" t="s">
        <v>23</v>
      </c>
      <c r="I54" s="16">
        <v>10</v>
      </c>
      <c r="J54" s="16">
        <v>4901.79</v>
      </c>
      <c r="K54" s="16">
        <f t="shared" si="2"/>
        <v>49017.9</v>
      </c>
      <c r="L54" s="16"/>
      <c r="M54" s="17"/>
      <c r="N54" s="16"/>
      <c r="O54" s="44" t="s">
        <v>53</v>
      </c>
      <c r="P54" s="18"/>
    </row>
    <row r="55" spans="2:16" ht="24.75" customHeight="1" x14ac:dyDescent="0.2">
      <c r="B55" s="14" t="s">
        <v>18</v>
      </c>
      <c r="C55" s="15" t="s">
        <v>151</v>
      </c>
      <c r="D55" s="15" t="s">
        <v>152</v>
      </c>
      <c r="E55" s="15" t="s">
        <v>153</v>
      </c>
      <c r="F55" s="15" t="s">
        <v>154</v>
      </c>
      <c r="G55" s="44" t="s">
        <v>22</v>
      </c>
      <c r="H55" s="45" t="s">
        <v>23</v>
      </c>
      <c r="I55" s="16">
        <v>19</v>
      </c>
      <c r="J55" s="16">
        <f>116.07+48.93</f>
        <v>165</v>
      </c>
      <c r="K55" s="16">
        <f t="shared" si="2"/>
        <v>3135</v>
      </c>
      <c r="L55" s="16"/>
      <c r="M55" s="17"/>
      <c r="N55" s="16"/>
      <c r="O55" s="44" t="s">
        <v>53</v>
      </c>
      <c r="P55" s="18"/>
    </row>
    <row r="56" spans="2:16" ht="21.75" customHeight="1" x14ac:dyDescent="0.2">
      <c r="B56" s="14" t="s">
        <v>18</v>
      </c>
      <c r="C56" s="15" t="s">
        <v>155</v>
      </c>
      <c r="D56" s="15" t="s">
        <v>156</v>
      </c>
      <c r="E56" s="15" t="s">
        <v>155</v>
      </c>
      <c r="F56" s="15" t="s">
        <v>156</v>
      </c>
      <c r="G56" s="44" t="s">
        <v>22</v>
      </c>
      <c r="H56" s="45" t="s">
        <v>23</v>
      </c>
      <c r="I56" s="16">
        <v>30</v>
      </c>
      <c r="J56" s="16">
        <v>459.82</v>
      </c>
      <c r="K56" s="16">
        <f t="shared" si="2"/>
        <v>13794.6</v>
      </c>
      <c r="L56" s="16"/>
      <c r="M56" s="17"/>
      <c r="N56" s="16"/>
      <c r="O56" s="44" t="s">
        <v>53</v>
      </c>
      <c r="P56" s="18"/>
    </row>
    <row r="57" spans="2:16" ht="21.75" customHeight="1" x14ac:dyDescent="0.2">
      <c r="B57" s="14" t="s">
        <v>18</v>
      </c>
      <c r="C57" s="15" t="s">
        <v>157</v>
      </c>
      <c r="D57" s="15" t="s">
        <v>157</v>
      </c>
      <c r="E57" s="15" t="s">
        <v>158</v>
      </c>
      <c r="F57" s="15" t="s">
        <v>158</v>
      </c>
      <c r="G57" s="44" t="s">
        <v>22</v>
      </c>
      <c r="H57" s="45" t="s">
        <v>23</v>
      </c>
      <c r="I57" s="16">
        <v>20</v>
      </c>
      <c r="J57" s="16">
        <v>678.57</v>
      </c>
      <c r="K57" s="16">
        <f t="shared" si="2"/>
        <v>13571.400000000001</v>
      </c>
      <c r="L57" s="16"/>
      <c r="M57" s="17"/>
      <c r="N57" s="16"/>
      <c r="O57" s="44" t="s">
        <v>53</v>
      </c>
      <c r="P57" s="18"/>
    </row>
    <row r="58" spans="2:16" ht="24.75" customHeight="1" x14ac:dyDescent="0.2">
      <c r="B58" s="14" t="s">
        <v>18</v>
      </c>
      <c r="C58" s="15" t="s">
        <v>159</v>
      </c>
      <c r="D58" s="15" t="s">
        <v>159</v>
      </c>
      <c r="E58" s="15" t="s">
        <v>159</v>
      </c>
      <c r="F58" s="15" t="s">
        <v>159</v>
      </c>
      <c r="G58" s="44" t="s">
        <v>22</v>
      </c>
      <c r="H58" s="45" t="s">
        <v>23</v>
      </c>
      <c r="I58" s="16">
        <v>15</v>
      </c>
      <c r="J58" s="16">
        <v>245.54</v>
      </c>
      <c r="K58" s="16">
        <f t="shared" si="2"/>
        <v>3683.1</v>
      </c>
      <c r="L58" s="16"/>
      <c r="M58" s="17"/>
      <c r="N58" s="16"/>
      <c r="O58" s="44" t="s">
        <v>53</v>
      </c>
      <c r="P58" s="18"/>
    </row>
    <row r="59" spans="2:16" ht="24" customHeight="1" x14ac:dyDescent="0.2">
      <c r="B59" s="14" t="s">
        <v>18</v>
      </c>
      <c r="C59" s="15" t="s">
        <v>160</v>
      </c>
      <c r="D59" s="15" t="s">
        <v>161</v>
      </c>
      <c r="E59" s="15" t="s">
        <v>162</v>
      </c>
      <c r="F59" s="15" t="s">
        <v>163</v>
      </c>
      <c r="G59" s="44" t="s">
        <v>22</v>
      </c>
      <c r="H59" s="45" t="s">
        <v>23</v>
      </c>
      <c r="I59" s="16">
        <v>15</v>
      </c>
      <c r="J59" s="16">
        <v>1339.29</v>
      </c>
      <c r="K59" s="16">
        <f>I59*J59</f>
        <v>20089.349999999999</v>
      </c>
      <c r="L59" s="16"/>
      <c r="M59" s="17"/>
      <c r="N59" s="16"/>
      <c r="O59" s="44" t="s">
        <v>53</v>
      </c>
      <c r="P59" s="18"/>
    </row>
    <row r="60" spans="2:16" ht="20.25" customHeight="1" x14ac:dyDescent="0.2">
      <c r="B60" s="14" t="s">
        <v>18</v>
      </c>
      <c r="C60" s="15" t="s">
        <v>164</v>
      </c>
      <c r="D60" s="15" t="s">
        <v>165</v>
      </c>
      <c r="E60" s="15" t="s">
        <v>166</v>
      </c>
      <c r="F60" s="15" t="s">
        <v>167</v>
      </c>
      <c r="G60" s="44" t="s">
        <v>22</v>
      </c>
      <c r="H60" s="45" t="s">
        <v>23</v>
      </c>
      <c r="I60" s="16">
        <v>131</v>
      </c>
      <c r="J60" s="16">
        <f>26.79+9.21</f>
        <v>36</v>
      </c>
      <c r="K60" s="16">
        <f t="shared" si="2"/>
        <v>4716</v>
      </c>
      <c r="L60" s="16"/>
      <c r="M60" s="17"/>
      <c r="N60" s="16"/>
      <c r="O60" s="44" t="s">
        <v>53</v>
      </c>
      <c r="P60" s="18"/>
    </row>
    <row r="61" spans="2:16" ht="18.75" customHeight="1" x14ac:dyDescent="0.2">
      <c r="B61" s="14" t="s">
        <v>18</v>
      </c>
      <c r="C61" s="15" t="s">
        <v>168</v>
      </c>
      <c r="D61" s="15" t="s">
        <v>168</v>
      </c>
      <c r="E61" s="15" t="s">
        <v>169</v>
      </c>
      <c r="F61" s="15" t="s">
        <v>170</v>
      </c>
      <c r="G61" s="44" t="s">
        <v>22</v>
      </c>
      <c r="H61" s="45" t="s">
        <v>23</v>
      </c>
      <c r="I61" s="16">
        <v>28</v>
      </c>
      <c r="J61" s="16">
        <v>339.29</v>
      </c>
      <c r="K61" s="16">
        <f t="shared" si="2"/>
        <v>9500.1200000000008</v>
      </c>
      <c r="L61" s="16"/>
      <c r="M61" s="17"/>
      <c r="N61" s="16"/>
      <c r="O61" s="44" t="s">
        <v>53</v>
      </c>
      <c r="P61" s="18"/>
    </row>
    <row r="62" spans="2:16" ht="23.25" customHeight="1" x14ac:dyDescent="0.2">
      <c r="B62" s="14" t="s">
        <v>18</v>
      </c>
      <c r="C62" s="15" t="s">
        <v>168</v>
      </c>
      <c r="D62" s="15" t="s">
        <v>168</v>
      </c>
      <c r="E62" s="15" t="s">
        <v>171</v>
      </c>
      <c r="F62" s="15" t="s">
        <v>172</v>
      </c>
      <c r="G62" s="44" t="s">
        <v>22</v>
      </c>
      <c r="H62" s="45" t="s">
        <v>23</v>
      </c>
      <c r="I62" s="16">
        <v>5</v>
      </c>
      <c r="J62" s="16">
        <v>281.25</v>
      </c>
      <c r="K62" s="16">
        <f t="shared" si="2"/>
        <v>1406.25</v>
      </c>
      <c r="L62" s="16"/>
      <c r="M62" s="17"/>
      <c r="N62" s="16"/>
      <c r="O62" s="44" t="s">
        <v>53</v>
      </c>
      <c r="P62" s="18"/>
    </row>
    <row r="63" spans="2:16" ht="32.25" customHeight="1" x14ac:dyDescent="0.2">
      <c r="B63" s="14" t="s">
        <v>18</v>
      </c>
      <c r="C63" s="15" t="s">
        <v>168</v>
      </c>
      <c r="D63" s="15" t="s">
        <v>168</v>
      </c>
      <c r="E63" s="15" t="s">
        <v>173</v>
      </c>
      <c r="F63" s="15" t="s">
        <v>174</v>
      </c>
      <c r="G63" s="44" t="s">
        <v>22</v>
      </c>
      <c r="H63" s="45" t="s">
        <v>23</v>
      </c>
      <c r="I63" s="16">
        <v>22</v>
      </c>
      <c r="J63" s="16">
        <v>200.89</v>
      </c>
      <c r="K63" s="16">
        <f t="shared" si="2"/>
        <v>4419.58</v>
      </c>
      <c r="L63" s="16"/>
      <c r="M63" s="17"/>
      <c r="N63" s="16"/>
      <c r="O63" s="44" t="s">
        <v>53</v>
      </c>
      <c r="P63" s="18"/>
    </row>
    <row r="64" spans="2:16" ht="21.75" customHeight="1" x14ac:dyDescent="0.2">
      <c r="B64" s="14" t="s">
        <v>18</v>
      </c>
      <c r="C64" s="15" t="s">
        <v>168</v>
      </c>
      <c r="D64" s="15" t="s">
        <v>168</v>
      </c>
      <c r="E64" s="15" t="s">
        <v>175</v>
      </c>
      <c r="F64" s="15" t="s">
        <v>176</v>
      </c>
      <c r="G64" s="44" t="s">
        <v>22</v>
      </c>
      <c r="H64" s="45" t="s">
        <v>23</v>
      </c>
      <c r="I64" s="16">
        <v>42</v>
      </c>
      <c r="J64" s="16">
        <v>205.36</v>
      </c>
      <c r="K64" s="16">
        <f t="shared" si="2"/>
        <v>8625.1200000000008</v>
      </c>
      <c r="L64" s="16"/>
      <c r="M64" s="17"/>
      <c r="N64" s="16"/>
      <c r="O64" s="44" t="s">
        <v>53</v>
      </c>
      <c r="P64" s="18"/>
    </row>
    <row r="65" spans="2:16" ht="23.25" customHeight="1" x14ac:dyDescent="0.2">
      <c r="B65" s="14" t="s">
        <v>18</v>
      </c>
      <c r="C65" s="15" t="s">
        <v>177</v>
      </c>
      <c r="D65" s="15" t="s">
        <v>178</v>
      </c>
      <c r="E65" s="15" t="s">
        <v>179</v>
      </c>
      <c r="F65" s="15" t="s">
        <v>180</v>
      </c>
      <c r="G65" s="44" t="s">
        <v>22</v>
      </c>
      <c r="H65" s="45" t="s">
        <v>23</v>
      </c>
      <c r="I65" s="16">
        <v>154</v>
      </c>
      <c r="J65" s="16">
        <f>223.21-142.46</f>
        <v>80.75</v>
      </c>
      <c r="K65" s="16">
        <f t="shared" si="2"/>
        <v>12435.5</v>
      </c>
      <c r="L65" s="16"/>
      <c r="M65" s="17"/>
      <c r="N65" s="16"/>
      <c r="O65" s="44" t="s">
        <v>53</v>
      </c>
      <c r="P65" s="18"/>
    </row>
    <row r="66" spans="2:16" ht="23.25" customHeight="1" x14ac:dyDescent="0.2">
      <c r="B66" s="14" t="s">
        <v>18</v>
      </c>
      <c r="C66" s="15" t="s">
        <v>181</v>
      </c>
      <c r="D66" s="15" t="s">
        <v>181</v>
      </c>
      <c r="E66" s="15" t="s">
        <v>182</v>
      </c>
      <c r="F66" s="15" t="s">
        <v>183</v>
      </c>
      <c r="G66" s="44" t="s">
        <v>73</v>
      </c>
      <c r="H66" s="45" t="s">
        <v>23</v>
      </c>
      <c r="I66" s="16">
        <v>50</v>
      </c>
      <c r="J66" s="16">
        <v>397.32</v>
      </c>
      <c r="K66" s="16">
        <f t="shared" si="2"/>
        <v>19866</v>
      </c>
      <c r="L66" s="16"/>
      <c r="M66" s="17"/>
      <c r="N66" s="16"/>
      <c r="O66" s="44" t="s">
        <v>53</v>
      </c>
      <c r="P66" s="18"/>
    </row>
    <row r="67" spans="2:16" ht="26.25" customHeight="1" x14ac:dyDescent="0.2">
      <c r="B67" s="14" t="s">
        <v>18</v>
      </c>
      <c r="C67" s="15" t="s">
        <v>181</v>
      </c>
      <c r="D67" s="15" t="s">
        <v>181</v>
      </c>
      <c r="E67" s="15" t="s">
        <v>184</v>
      </c>
      <c r="F67" s="15" t="s">
        <v>185</v>
      </c>
      <c r="G67" s="44" t="s">
        <v>73</v>
      </c>
      <c r="H67" s="45" t="s">
        <v>23</v>
      </c>
      <c r="I67" s="16">
        <v>225</v>
      </c>
      <c r="J67" s="16">
        <f>584.82+405.18-222.14</f>
        <v>767.86</v>
      </c>
      <c r="K67" s="16">
        <f t="shared" si="2"/>
        <v>172768.5</v>
      </c>
      <c r="L67" s="16"/>
      <c r="M67" s="17"/>
      <c r="N67" s="16"/>
      <c r="O67" s="44" t="s">
        <v>53</v>
      </c>
      <c r="P67" s="18"/>
    </row>
    <row r="68" spans="2:16" ht="24" customHeight="1" x14ac:dyDescent="0.2">
      <c r="B68" s="14" t="s">
        <v>18</v>
      </c>
      <c r="C68" s="15" t="s">
        <v>181</v>
      </c>
      <c r="D68" s="15" t="s">
        <v>181</v>
      </c>
      <c r="E68" s="15" t="s">
        <v>186</v>
      </c>
      <c r="F68" s="15" t="s">
        <v>187</v>
      </c>
      <c r="G68" s="44" t="s">
        <v>22</v>
      </c>
      <c r="H68" s="45" t="s">
        <v>23</v>
      </c>
      <c r="I68" s="16">
        <v>100</v>
      </c>
      <c r="J68" s="16">
        <f>71.43+23.57</f>
        <v>95</v>
      </c>
      <c r="K68" s="16">
        <f>I68*J68</f>
        <v>9500</v>
      </c>
      <c r="L68" s="16"/>
      <c r="M68" s="17"/>
      <c r="N68" s="16"/>
      <c r="O68" s="44" t="s">
        <v>53</v>
      </c>
      <c r="P68" s="18"/>
    </row>
    <row r="69" spans="2:16" ht="24.75" customHeight="1" x14ac:dyDescent="0.2">
      <c r="B69" s="14" t="s">
        <v>18</v>
      </c>
      <c r="C69" s="15" t="s">
        <v>181</v>
      </c>
      <c r="D69" s="15" t="s">
        <v>181</v>
      </c>
      <c r="E69" s="15" t="s">
        <v>188</v>
      </c>
      <c r="F69" s="15" t="s">
        <v>189</v>
      </c>
      <c r="G69" s="44" t="s">
        <v>73</v>
      </c>
      <c r="H69" s="45" t="s">
        <v>23</v>
      </c>
      <c r="I69" s="16">
        <v>50</v>
      </c>
      <c r="J69" s="16">
        <f>758.93+2241.07</f>
        <v>3000</v>
      </c>
      <c r="K69" s="16">
        <f>I69*J69</f>
        <v>150000</v>
      </c>
      <c r="L69" s="16"/>
      <c r="M69" s="17"/>
      <c r="N69" s="16"/>
      <c r="O69" s="44" t="s">
        <v>53</v>
      </c>
      <c r="P69" s="18"/>
    </row>
    <row r="70" spans="2:16" ht="25.5" x14ac:dyDescent="0.2">
      <c r="B70" s="14" t="s">
        <v>18</v>
      </c>
      <c r="C70" s="15" t="s">
        <v>190</v>
      </c>
      <c r="D70" s="15" t="s">
        <v>191</v>
      </c>
      <c r="E70" s="15" t="s">
        <v>192</v>
      </c>
      <c r="F70" s="15" t="s">
        <v>193</v>
      </c>
      <c r="G70" s="44" t="s">
        <v>22</v>
      </c>
      <c r="H70" s="45" t="s">
        <v>132</v>
      </c>
      <c r="I70" s="16">
        <v>184</v>
      </c>
      <c r="J70" s="16">
        <v>321.42</v>
      </c>
      <c r="K70" s="16">
        <f t="shared" si="2"/>
        <v>59141.280000000006</v>
      </c>
      <c r="L70" s="16"/>
      <c r="M70" s="17"/>
      <c r="N70" s="16"/>
      <c r="O70" s="44" t="s">
        <v>53</v>
      </c>
      <c r="P70" s="18"/>
    </row>
    <row r="71" spans="2:16" ht="25.5" x14ac:dyDescent="0.2">
      <c r="B71" s="14" t="s">
        <v>18</v>
      </c>
      <c r="C71" s="15" t="s">
        <v>190</v>
      </c>
      <c r="D71" s="15" t="s">
        <v>191</v>
      </c>
      <c r="E71" s="15" t="s">
        <v>194</v>
      </c>
      <c r="F71" s="15" t="s">
        <v>195</v>
      </c>
      <c r="G71" s="44" t="s">
        <v>22</v>
      </c>
      <c r="H71" s="45" t="s">
        <v>132</v>
      </c>
      <c r="I71" s="16">
        <v>178</v>
      </c>
      <c r="J71" s="16">
        <v>174.11</v>
      </c>
      <c r="K71" s="16">
        <f t="shared" si="2"/>
        <v>30991.58</v>
      </c>
      <c r="L71" s="16"/>
      <c r="M71" s="17"/>
      <c r="N71" s="16"/>
      <c r="O71" s="44" t="s">
        <v>53</v>
      </c>
      <c r="P71" s="18"/>
    </row>
    <row r="72" spans="2:16" ht="21.75" customHeight="1" x14ac:dyDescent="0.2">
      <c r="B72" s="14" t="s">
        <v>18</v>
      </c>
      <c r="C72" s="15" t="s">
        <v>196</v>
      </c>
      <c r="D72" s="15" t="s">
        <v>197</v>
      </c>
      <c r="E72" s="15" t="s">
        <v>198</v>
      </c>
      <c r="F72" s="15" t="s">
        <v>199</v>
      </c>
      <c r="G72" s="44" t="s">
        <v>22</v>
      </c>
      <c r="H72" s="45" t="s">
        <v>23</v>
      </c>
      <c r="I72" s="16">
        <v>11</v>
      </c>
      <c r="J72" s="16">
        <v>584.82000000000005</v>
      </c>
      <c r="K72" s="16">
        <f t="shared" si="2"/>
        <v>6433.02</v>
      </c>
      <c r="L72" s="16"/>
      <c r="M72" s="17"/>
      <c r="N72" s="16"/>
      <c r="O72" s="44" t="s">
        <v>53</v>
      </c>
      <c r="P72" s="18"/>
    </row>
    <row r="73" spans="2:16" ht="25.5" customHeight="1" x14ac:dyDescent="0.2">
      <c r="B73" s="14" t="s">
        <v>18</v>
      </c>
      <c r="C73" s="15" t="s">
        <v>200</v>
      </c>
      <c r="D73" s="15" t="s">
        <v>201</v>
      </c>
      <c r="E73" s="15" t="s">
        <v>200</v>
      </c>
      <c r="F73" s="15" t="s">
        <v>201</v>
      </c>
      <c r="G73" s="44" t="s">
        <v>22</v>
      </c>
      <c r="H73" s="45" t="s">
        <v>23</v>
      </c>
      <c r="I73" s="16">
        <v>20</v>
      </c>
      <c r="J73" s="16">
        <f>5625-3175</f>
        <v>2450</v>
      </c>
      <c r="K73" s="16">
        <f t="shared" si="2"/>
        <v>49000</v>
      </c>
      <c r="L73" s="16"/>
      <c r="M73" s="17"/>
      <c r="N73" s="16"/>
      <c r="O73" s="44" t="s">
        <v>53</v>
      </c>
      <c r="P73" s="18"/>
    </row>
    <row r="74" spans="2:16" ht="23.25" customHeight="1" x14ac:dyDescent="0.2">
      <c r="B74" s="14" t="s">
        <v>18</v>
      </c>
      <c r="C74" s="15" t="s">
        <v>202</v>
      </c>
      <c r="D74" s="15" t="s">
        <v>203</v>
      </c>
      <c r="E74" s="15" t="s">
        <v>204</v>
      </c>
      <c r="F74" s="15" t="s">
        <v>205</v>
      </c>
      <c r="G74" s="44" t="s">
        <v>22</v>
      </c>
      <c r="H74" s="45" t="s">
        <v>132</v>
      </c>
      <c r="I74" s="16">
        <v>44</v>
      </c>
      <c r="J74" s="16">
        <v>169.64</v>
      </c>
      <c r="K74" s="16">
        <f t="shared" si="2"/>
        <v>7464.16</v>
      </c>
      <c r="L74" s="16"/>
      <c r="M74" s="17"/>
      <c r="N74" s="16"/>
      <c r="O74" s="44" t="s">
        <v>53</v>
      </c>
      <c r="P74" s="18"/>
    </row>
    <row r="75" spans="2:16" ht="23.25" customHeight="1" x14ac:dyDescent="0.2">
      <c r="B75" s="14" t="s">
        <v>18</v>
      </c>
      <c r="C75" s="15" t="s">
        <v>202</v>
      </c>
      <c r="D75" s="15" t="s">
        <v>203</v>
      </c>
      <c r="E75" s="15" t="s">
        <v>206</v>
      </c>
      <c r="F75" s="15" t="s">
        <v>207</v>
      </c>
      <c r="G75" s="44" t="s">
        <v>22</v>
      </c>
      <c r="H75" s="45" t="s">
        <v>132</v>
      </c>
      <c r="I75" s="16">
        <v>53</v>
      </c>
      <c r="J75" s="16">
        <v>415.18</v>
      </c>
      <c r="K75" s="16">
        <f t="shared" si="2"/>
        <v>22004.54</v>
      </c>
      <c r="L75" s="16"/>
      <c r="M75" s="17"/>
      <c r="N75" s="16"/>
      <c r="O75" s="44" t="s">
        <v>53</v>
      </c>
      <c r="P75" s="18"/>
    </row>
    <row r="76" spans="2:16" ht="25.5" x14ac:dyDescent="0.2">
      <c r="B76" s="14" t="s">
        <v>18</v>
      </c>
      <c r="C76" s="15" t="s">
        <v>208</v>
      </c>
      <c r="D76" s="15" t="s">
        <v>209</v>
      </c>
      <c r="E76" s="15" t="s">
        <v>210</v>
      </c>
      <c r="F76" s="15" t="s">
        <v>211</v>
      </c>
      <c r="G76" s="44" t="s">
        <v>22</v>
      </c>
      <c r="H76" s="45" t="s">
        <v>23</v>
      </c>
      <c r="I76" s="16">
        <v>86</v>
      </c>
      <c r="J76" s="16">
        <v>160.71</v>
      </c>
      <c r="K76" s="16">
        <f t="shared" si="2"/>
        <v>13821.060000000001</v>
      </c>
      <c r="L76" s="16"/>
      <c r="M76" s="17"/>
      <c r="N76" s="16"/>
      <c r="O76" s="44" t="s">
        <v>53</v>
      </c>
      <c r="P76" s="18"/>
    </row>
    <row r="77" spans="2:16" ht="25.5" x14ac:dyDescent="0.2">
      <c r="B77" s="14" t="s">
        <v>18</v>
      </c>
      <c r="C77" s="15" t="s">
        <v>212</v>
      </c>
      <c r="D77" s="15" t="s">
        <v>212</v>
      </c>
      <c r="E77" s="15" t="s">
        <v>213</v>
      </c>
      <c r="F77" s="15" t="s">
        <v>214</v>
      </c>
      <c r="G77" s="44" t="s">
        <v>73</v>
      </c>
      <c r="H77" s="45" t="s">
        <v>23</v>
      </c>
      <c r="I77" s="16">
        <v>1000</v>
      </c>
      <c r="J77" s="16">
        <v>62.5</v>
      </c>
      <c r="K77" s="16">
        <f t="shared" si="2"/>
        <v>62500</v>
      </c>
      <c r="L77" s="16"/>
      <c r="M77" s="17"/>
      <c r="N77" s="16"/>
      <c r="O77" s="44" t="s">
        <v>53</v>
      </c>
      <c r="P77" s="18"/>
    </row>
    <row r="78" spans="2:16" ht="25.5" x14ac:dyDescent="0.2">
      <c r="B78" s="14" t="s">
        <v>18</v>
      </c>
      <c r="C78" s="15" t="s">
        <v>215</v>
      </c>
      <c r="D78" s="15" t="s">
        <v>216</v>
      </c>
      <c r="E78" s="15" t="s">
        <v>217</v>
      </c>
      <c r="F78" s="15" t="s">
        <v>218</v>
      </c>
      <c r="G78" s="44" t="s">
        <v>73</v>
      </c>
      <c r="H78" s="45" t="s">
        <v>23</v>
      </c>
      <c r="I78" s="16">
        <v>26</v>
      </c>
      <c r="J78" s="16">
        <v>214.29</v>
      </c>
      <c r="K78" s="16">
        <f t="shared" si="2"/>
        <v>5571.54</v>
      </c>
      <c r="L78" s="16"/>
      <c r="M78" s="17"/>
      <c r="N78" s="16"/>
      <c r="O78" s="44" t="s">
        <v>53</v>
      </c>
      <c r="P78" s="18"/>
    </row>
    <row r="79" spans="2:16" ht="23.25" customHeight="1" x14ac:dyDescent="0.2">
      <c r="B79" s="14" t="s">
        <v>18</v>
      </c>
      <c r="C79" s="15" t="s">
        <v>219</v>
      </c>
      <c r="D79" s="15" t="s">
        <v>220</v>
      </c>
      <c r="E79" s="15" t="s">
        <v>221</v>
      </c>
      <c r="F79" s="15" t="s">
        <v>222</v>
      </c>
      <c r="G79" s="44" t="s">
        <v>22</v>
      </c>
      <c r="H79" s="45" t="s">
        <v>23</v>
      </c>
      <c r="I79" s="16">
        <v>3</v>
      </c>
      <c r="J79" s="16">
        <v>803.56</v>
      </c>
      <c r="K79" s="16">
        <f t="shared" si="2"/>
        <v>2410.6799999999998</v>
      </c>
      <c r="L79" s="16"/>
      <c r="M79" s="17"/>
      <c r="N79" s="16"/>
      <c r="O79" s="44" t="s">
        <v>53</v>
      </c>
      <c r="P79" s="18"/>
    </row>
    <row r="80" spans="2:16" ht="20.25" customHeight="1" x14ac:dyDescent="0.2">
      <c r="B80" s="14" t="s">
        <v>18</v>
      </c>
      <c r="C80" s="15" t="s">
        <v>223</v>
      </c>
      <c r="D80" s="15" t="s">
        <v>224</v>
      </c>
      <c r="E80" s="15" t="s">
        <v>225</v>
      </c>
      <c r="F80" s="15" t="s">
        <v>226</v>
      </c>
      <c r="G80" s="44" t="s">
        <v>22</v>
      </c>
      <c r="H80" s="45" t="s">
        <v>83</v>
      </c>
      <c r="I80" s="16">
        <v>27</v>
      </c>
      <c r="J80" s="16">
        <v>1473.2</v>
      </c>
      <c r="K80" s="16">
        <f t="shared" si="2"/>
        <v>39776.400000000001</v>
      </c>
      <c r="L80" s="16"/>
      <c r="M80" s="17"/>
      <c r="N80" s="16"/>
      <c r="O80" s="44" t="s">
        <v>53</v>
      </c>
      <c r="P80" s="18"/>
    </row>
    <row r="81" spans="2:17" ht="26.25" customHeight="1" x14ac:dyDescent="0.2">
      <c r="B81" s="14" t="s">
        <v>18</v>
      </c>
      <c r="C81" s="15" t="s">
        <v>227</v>
      </c>
      <c r="D81" s="15" t="s">
        <v>228</v>
      </c>
      <c r="E81" s="15" t="s">
        <v>229</v>
      </c>
      <c r="F81" s="15" t="s">
        <v>230</v>
      </c>
      <c r="G81" s="44" t="s">
        <v>22</v>
      </c>
      <c r="H81" s="45" t="s">
        <v>231</v>
      </c>
      <c r="I81" s="16">
        <v>7000</v>
      </c>
      <c r="J81" s="16">
        <v>251.87</v>
      </c>
      <c r="K81" s="16">
        <f t="shared" si="2"/>
        <v>1763090</v>
      </c>
      <c r="L81" s="16"/>
      <c r="M81" s="17"/>
      <c r="N81" s="16"/>
      <c r="O81" s="44" t="s">
        <v>53</v>
      </c>
      <c r="P81" s="18"/>
    </row>
    <row r="82" spans="2:17" ht="24.75" customHeight="1" x14ac:dyDescent="0.2">
      <c r="B82" s="14" t="s">
        <v>18</v>
      </c>
      <c r="C82" s="15" t="s">
        <v>232</v>
      </c>
      <c r="D82" s="15" t="s">
        <v>233</v>
      </c>
      <c r="E82" s="15" t="s">
        <v>234</v>
      </c>
      <c r="F82" s="15" t="s">
        <v>235</v>
      </c>
      <c r="G82" s="44" t="s">
        <v>22</v>
      </c>
      <c r="H82" s="45" t="s">
        <v>23</v>
      </c>
      <c r="I82" s="16">
        <v>3</v>
      </c>
      <c r="J82" s="16">
        <v>3160.7</v>
      </c>
      <c r="K82" s="16">
        <f t="shared" si="2"/>
        <v>9482.0999999999985</v>
      </c>
      <c r="L82" s="16"/>
      <c r="M82" s="17"/>
      <c r="N82" s="16"/>
      <c r="O82" s="44" t="s">
        <v>24</v>
      </c>
      <c r="P82" s="18"/>
    </row>
    <row r="83" spans="2:17" ht="24.75" customHeight="1" x14ac:dyDescent="0.2">
      <c r="B83" s="14" t="s">
        <v>18</v>
      </c>
      <c r="C83" s="15" t="s">
        <v>236</v>
      </c>
      <c r="D83" s="15" t="s">
        <v>237</v>
      </c>
      <c r="E83" s="15" t="s">
        <v>238</v>
      </c>
      <c r="F83" s="15" t="s">
        <v>239</v>
      </c>
      <c r="G83" s="44" t="s">
        <v>22</v>
      </c>
      <c r="H83" s="45" t="s">
        <v>23</v>
      </c>
      <c r="I83" s="16">
        <v>9</v>
      </c>
      <c r="J83" s="16">
        <v>3348.2</v>
      </c>
      <c r="K83" s="16">
        <f t="shared" si="2"/>
        <v>30133.8</v>
      </c>
      <c r="L83" s="16"/>
      <c r="M83" s="17"/>
      <c r="N83" s="16"/>
      <c r="O83" s="44" t="s">
        <v>53</v>
      </c>
      <c r="P83" s="18"/>
      <c r="Q83" s="19"/>
    </row>
    <row r="84" spans="2:17" ht="25.5" x14ac:dyDescent="0.2">
      <c r="B84" s="14" t="s">
        <v>18</v>
      </c>
      <c r="C84" s="15" t="s">
        <v>240</v>
      </c>
      <c r="D84" s="15" t="s">
        <v>241</v>
      </c>
      <c r="E84" s="15" t="s">
        <v>242</v>
      </c>
      <c r="F84" s="15" t="s">
        <v>243</v>
      </c>
      <c r="G84" s="44" t="s">
        <v>73</v>
      </c>
      <c r="H84" s="45" t="s">
        <v>244</v>
      </c>
      <c r="I84" s="16">
        <v>1</v>
      </c>
      <c r="J84" s="16">
        <v>36637704</v>
      </c>
      <c r="K84" s="16">
        <f t="shared" si="2"/>
        <v>36637704</v>
      </c>
      <c r="L84" s="16"/>
      <c r="M84" s="16"/>
      <c r="N84" s="16"/>
      <c r="O84" s="48" t="s">
        <v>27</v>
      </c>
      <c r="P84" s="18"/>
      <c r="Q84" s="19"/>
    </row>
    <row r="85" spans="2:17" ht="38.25" x14ac:dyDescent="0.2">
      <c r="B85" s="14" t="s">
        <v>18</v>
      </c>
      <c r="C85" s="15" t="s">
        <v>240</v>
      </c>
      <c r="D85" s="15" t="s">
        <v>241</v>
      </c>
      <c r="E85" s="15" t="s">
        <v>242</v>
      </c>
      <c r="F85" s="15" t="s">
        <v>243</v>
      </c>
      <c r="G85" s="44" t="s">
        <v>245</v>
      </c>
      <c r="H85" s="45" t="s">
        <v>244</v>
      </c>
      <c r="I85" s="16">
        <v>1</v>
      </c>
      <c r="J85" s="16">
        <v>3561999</v>
      </c>
      <c r="K85" s="16">
        <f t="shared" si="2"/>
        <v>3561999</v>
      </c>
      <c r="L85" s="16"/>
      <c r="M85" s="16"/>
      <c r="N85" s="16"/>
      <c r="O85" s="48" t="s">
        <v>246</v>
      </c>
      <c r="P85" s="18"/>
      <c r="Q85" s="19"/>
    </row>
    <row r="86" spans="2:17" ht="39.75" customHeight="1" x14ac:dyDescent="0.2">
      <c r="B86" s="14" t="s">
        <v>18</v>
      </c>
      <c r="C86" s="15" t="s">
        <v>247</v>
      </c>
      <c r="D86" s="15" t="s">
        <v>248</v>
      </c>
      <c r="E86" s="15" t="s">
        <v>249</v>
      </c>
      <c r="F86" s="15" t="s">
        <v>250</v>
      </c>
      <c r="G86" s="44" t="s">
        <v>22</v>
      </c>
      <c r="H86" s="45" t="s">
        <v>244</v>
      </c>
      <c r="I86" s="16">
        <v>1</v>
      </c>
      <c r="J86" s="16">
        <f>5916760.7+1133082.99</f>
        <v>7049843.6900000004</v>
      </c>
      <c r="K86" s="16">
        <f t="shared" si="2"/>
        <v>7049843.6900000004</v>
      </c>
      <c r="L86" s="16"/>
      <c r="M86" s="16"/>
      <c r="N86" s="16"/>
      <c r="O86" s="44" t="s">
        <v>246</v>
      </c>
      <c r="P86" s="18"/>
      <c r="Q86" s="19"/>
    </row>
    <row r="87" spans="2:17" ht="27" customHeight="1" x14ac:dyDescent="0.2">
      <c r="B87" s="14" t="s">
        <v>18</v>
      </c>
      <c r="C87" s="15" t="s">
        <v>251</v>
      </c>
      <c r="D87" s="15" t="s">
        <v>252</v>
      </c>
      <c r="E87" s="15" t="s">
        <v>253</v>
      </c>
      <c r="F87" s="15" t="s">
        <v>254</v>
      </c>
      <c r="G87" s="44" t="s">
        <v>255</v>
      </c>
      <c r="H87" s="45" t="s">
        <v>244</v>
      </c>
      <c r="I87" s="16">
        <v>1</v>
      </c>
      <c r="J87" s="16">
        <v>20800000</v>
      </c>
      <c r="K87" s="16">
        <f t="shared" si="2"/>
        <v>20800000</v>
      </c>
      <c r="L87" s="16"/>
      <c r="M87" s="16"/>
      <c r="N87" s="16"/>
      <c r="O87" s="44" t="s">
        <v>27</v>
      </c>
      <c r="P87" s="18"/>
      <c r="Q87" s="19"/>
    </row>
    <row r="88" spans="2:17" ht="26.25" customHeight="1" x14ac:dyDescent="0.2">
      <c r="B88" s="14" t="s">
        <v>18</v>
      </c>
      <c r="C88" s="15" t="s">
        <v>251</v>
      </c>
      <c r="D88" s="15" t="s">
        <v>252</v>
      </c>
      <c r="E88" s="15" t="s">
        <v>256</v>
      </c>
      <c r="F88" s="15" t="s">
        <v>257</v>
      </c>
      <c r="G88" s="44" t="s">
        <v>255</v>
      </c>
      <c r="H88" s="45" t="s">
        <v>244</v>
      </c>
      <c r="I88" s="16">
        <v>1</v>
      </c>
      <c r="J88" s="16">
        <v>7350000</v>
      </c>
      <c r="K88" s="16">
        <f t="shared" si="2"/>
        <v>7350000</v>
      </c>
      <c r="L88" s="16"/>
      <c r="M88" s="16"/>
      <c r="N88" s="16"/>
      <c r="O88" s="44" t="s">
        <v>27</v>
      </c>
      <c r="P88" s="18"/>
      <c r="Q88" s="19"/>
    </row>
    <row r="89" spans="2:17" ht="25.5" x14ac:dyDescent="0.2">
      <c r="B89" s="14" t="s">
        <v>18</v>
      </c>
      <c r="C89" s="15" t="s">
        <v>258</v>
      </c>
      <c r="D89" s="15" t="s">
        <v>259</v>
      </c>
      <c r="E89" s="15" t="s">
        <v>260</v>
      </c>
      <c r="F89" s="15" t="s">
        <v>261</v>
      </c>
      <c r="G89" s="44" t="s">
        <v>255</v>
      </c>
      <c r="H89" s="45" t="s">
        <v>244</v>
      </c>
      <c r="I89" s="16">
        <v>1</v>
      </c>
      <c r="J89" s="16">
        <v>9240000</v>
      </c>
      <c r="K89" s="16">
        <f t="shared" si="2"/>
        <v>9240000</v>
      </c>
      <c r="L89" s="16"/>
      <c r="M89" s="16"/>
      <c r="N89" s="16"/>
      <c r="O89" s="44" t="s">
        <v>262</v>
      </c>
      <c r="P89" s="18"/>
      <c r="Q89" s="19"/>
    </row>
    <row r="90" spans="2:17" ht="25.5" x14ac:dyDescent="0.2">
      <c r="B90" s="14" t="s">
        <v>18</v>
      </c>
      <c r="C90" s="15" t="s">
        <v>251</v>
      </c>
      <c r="D90" s="15" t="s">
        <v>252</v>
      </c>
      <c r="E90" s="15" t="s">
        <v>263</v>
      </c>
      <c r="F90" s="15" t="s">
        <v>264</v>
      </c>
      <c r="G90" s="44" t="s">
        <v>255</v>
      </c>
      <c r="H90" s="45" t="s">
        <v>244</v>
      </c>
      <c r="I90" s="16">
        <v>1</v>
      </c>
      <c r="J90" s="16">
        <v>44000000</v>
      </c>
      <c r="K90" s="16">
        <f t="shared" si="2"/>
        <v>44000000</v>
      </c>
      <c r="L90" s="16"/>
      <c r="M90" s="16"/>
      <c r="N90" s="16"/>
      <c r="O90" s="44" t="s">
        <v>265</v>
      </c>
      <c r="P90" s="18"/>
      <c r="Q90" s="19"/>
    </row>
    <row r="91" spans="2:17" ht="38.25" x14ac:dyDescent="0.2">
      <c r="B91" s="14" t="s">
        <v>18</v>
      </c>
      <c r="C91" s="15" t="s">
        <v>266</v>
      </c>
      <c r="D91" s="15" t="s">
        <v>267</v>
      </c>
      <c r="E91" s="15" t="s">
        <v>268</v>
      </c>
      <c r="F91" s="15" t="s">
        <v>269</v>
      </c>
      <c r="G91" s="44" t="s">
        <v>73</v>
      </c>
      <c r="H91" s="45" t="s">
        <v>244</v>
      </c>
      <c r="I91" s="16">
        <v>1</v>
      </c>
      <c r="J91" s="16">
        <f>38571489.2-24107203.5</f>
        <v>14464285.700000003</v>
      </c>
      <c r="K91" s="16">
        <f t="shared" si="2"/>
        <v>14464285.700000003</v>
      </c>
      <c r="L91" s="16"/>
      <c r="M91" s="16"/>
      <c r="N91" s="16"/>
      <c r="O91" s="44" t="s">
        <v>53</v>
      </c>
      <c r="P91" s="18"/>
      <c r="Q91" s="19"/>
    </row>
    <row r="92" spans="2:17" ht="25.5" x14ac:dyDescent="0.2">
      <c r="B92" s="14" t="s">
        <v>18</v>
      </c>
      <c r="C92" s="15" t="s">
        <v>270</v>
      </c>
      <c r="D92" s="15" t="s">
        <v>271</v>
      </c>
      <c r="E92" s="15" t="s">
        <v>272</v>
      </c>
      <c r="F92" s="15" t="s">
        <v>273</v>
      </c>
      <c r="G92" s="44" t="s">
        <v>73</v>
      </c>
      <c r="H92" s="45" t="s">
        <v>244</v>
      </c>
      <c r="I92" s="16">
        <v>1</v>
      </c>
      <c r="J92" s="16">
        <v>249600</v>
      </c>
      <c r="K92" s="16">
        <f t="shared" si="2"/>
        <v>249600</v>
      </c>
      <c r="L92" s="16"/>
      <c r="M92" s="16"/>
      <c r="N92" s="16"/>
      <c r="O92" s="44" t="s">
        <v>27</v>
      </c>
      <c r="P92" s="18"/>
      <c r="Q92" s="19"/>
    </row>
    <row r="93" spans="2:17" ht="25.5" x14ac:dyDescent="0.2">
      <c r="B93" s="14" t="s">
        <v>18</v>
      </c>
      <c r="C93" s="15" t="s">
        <v>270</v>
      </c>
      <c r="D93" s="15" t="s">
        <v>271</v>
      </c>
      <c r="E93" s="15" t="s">
        <v>274</v>
      </c>
      <c r="F93" s="15" t="s">
        <v>275</v>
      </c>
      <c r="G93" s="44" t="s">
        <v>73</v>
      </c>
      <c r="H93" s="45" t="s">
        <v>244</v>
      </c>
      <c r="I93" s="16">
        <v>1</v>
      </c>
      <c r="J93" s="16">
        <v>417600</v>
      </c>
      <c r="K93" s="16">
        <f t="shared" si="2"/>
        <v>417600</v>
      </c>
      <c r="L93" s="16"/>
      <c r="M93" s="16"/>
      <c r="N93" s="16"/>
      <c r="O93" s="44" t="s">
        <v>27</v>
      </c>
      <c r="P93" s="27"/>
      <c r="Q93" s="19"/>
    </row>
    <row r="94" spans="2:17" ht="38.25" x14ac:dyDescent="0.2">
      <c r="B94" s="14" t="s">
        <v>18</v>
      </c>
      <c r="C94" s="15" t="s">
        <v>276</v>
      </c>
      <c r="D94" s="15" t="s">
        <v>277</v>
      </c>
      <c r="E94" s="15" t="s">
        <v>278</v>
      </c>
      <c r="F94" s="15" t="s">
        <v>279</v>
      </c>
      <c r="G94" s="44" t="s">
        <v>73</v>
      </c>
      <c r="H94" s="45" t="s">
        <v>244</v>
      </c>
      <c r="I94" s="16">
        <v>1</v>
      </c>
      <c r="J94" s="16">
        <v>102240</v>
      </c>
      <c r="K94" s="16">
        <f t="shared" si="2"/>
        <v>102240</v>
      </c>
      <c r="L94" s="16"/>
      <c r="M94" s="16"/>
      <c r="N94" s="16"/>
      <c r="O94" s="44" t="s">
        <v>27</v>
      </c>
      <c r="P94" s="27"/>
      <c r="Q94" s="19"/>
    </row>
    <row r="95" spans="2:17" ht="25.5" x14ac:dyDescent="0.2">
      <c r="B95" s="14" t="s">
        <v>18</v>
      </c>
      <c r="C95" s="15" t="s">
        <v>280</v>
      </c>
      <c r="D95" s="15" t="s">
        <v>281</v>
      </c>
      <c r="E95" s="15" t="s">
        <v>282</v>
      </c>
      <c r="F95" s="15" t="s">
        <v>283</v>
      </c>
      <c r="G95" s="44" t="s">
        <v>22</v>
      </c>
      <c r="H95" s="45" t="s">
        <v>284</v>
      </c>
      <c r="I95" s="16">
        <v>1</v>
      </c>
      <c r="J95" s="16">
        <v>425680.49999999977</v>
      </c>
      <c r="K95" s="16">
        <f t="shared" si="2"/>
        <v>425680.49999999977</v>
      </c>
      <c r="L95" s="16"/>
      <c r="M95" s="16"/>
      <c r="N95" s="16"/>
      <c r="O95" s="44" t="s">
        <v>27</v>
      </c>
      <c r="P95" s="18"/>
      <c r="Q95" s="19"/>
    </row>
    <row r="96" spans="2:17" ht="25.5" x14ac:dyDescent="0.2">
      <c r="B96" s="14" t="s">
        <v>18</v>
      </c>
      <c r="C96" s="15" t="s">
        <v>280</v>
      </c>
      <c r="D96" s="15" t="s">
        <v>281</v>
      </c>
      <c r="E96" s="15" t="s">
        <v>285</v>
      </c>
      <c r="F96" s="15" t="s">
        <v>286</v>
      </c>
      <c r="G96" s="44" t="s">
        <v>22</v>
      </c>
      <c r="H96" s="45" t="s">
        <v>284</v>
      </c>
      <c r="I96" s="16">
        <v>1</v>
      </c>
      <c r="J96" s="16">
        <v>1586850</v>
      </c>
      <c r="K96" s="16">
        <f t="shared" si="2"/>
        <v>1586850</v>
      </c>
      <c r="L96" s="16"/>
      <c r="M96" s="16"/>
      <c r="N96" s="16"/>
      <c r="O96" s="44" t="s">
        <v>27</v>
      </c>
      <c r="P96" s="27"/>
      <c r="Q96" s="19"/>
    </row>
    <row r="97" spans="2:18" ht="25.5" x14ac:dyDescent="0.2">
      <c r="B97" s="14" t="s">
        <v>18</v>
      </c>
      <c r="C97" s="15" t="s">
        <v>287</v>
      </c>
      <c r="D97" s="15" t="s">
        <v>288</v>
      </c>
      <c r="E97" s="28" t="s">
        <v>289</v>
      </c>
      <c r="F97" s="15" t="s">
        <v>290</v>
      </c>
      <c r="G97" s="44" t="s">
        <v>22</v>
      </c>
      <c r="H97" s="45" t="s">
        <v>244</v>
      </c>
      <c r="I97" s="16">
        <v>1</v>
      </c>
      <c r="J97" s="16">
        <v>2527990</v>
      </c>
      <c r="K97" s="16">
        <f t="shared" si="2"/>
        <v>2527990</v>
      </c>
      <c r="L97" s="16"/>
      <c r="M97" s="16"/>
      <c r="N97" s="16"/>
      <c r="O97" s="44" t="s">
        <v>53</v>
      </c>
      <c r="P97" s="27"/>
      <c r="Q97" s="19"/>
    </row>
    <row r="98" spans="2:18" ht="25.5" x14ac:dyDescent="0.2">
      <c r="B98" s="14" t="s">
        <v>18</v>
      </c>
      <c r="C98" s="15" t="s">
        <v>291</v>
      </c>
      <c r="D98" s="15" t="s">
        <v>292</v>
      </c>
      <c r="E98" s="15" t="s">
        <v>293</v>
      </c>
      <c r="F98" s="15" t="s">
        <v>294</v>
      </c>
      <c r="G98" s="44" t="s">
        <v>73</v>
      </c>
      <c r="H98" s="45" t="s">
        <v>244</v>
      </c>
      <c r="I98" s="16">
        <v>1</v>
      </c>
      <c r="J98" s="16">
        <v>9800</v>
      </c>
      <c r="K98" s="16">
        <f t="shared" si="2"/>
        <v>9800</v>
      </c>
      <c r="L98" s="16"/>
      <c r="M98" s="16"/>
      <c r="N98" s="16"/>
      <c r="O98" s="44" t="s">
        <v>27</v>
      </c>
      <c r="P98" s="27"/>
      <c r="Q98" s="19"/>
    </row>
    <row r="99" spans="2:18" ht="25.5" x14ac:dyDescent="0.2">
      <c r="B99" s="14" t="s">
        <v>18</v>
      </c>
      <c r="C99" s="15" t="s">
        <v>291</v>
      </c>
      <c r="D99" s="15" t="s">
        <v>292</v>
      </c>
      <c r="E99" s="15" t="s">
        <v>295</v>
      </c>
      <c r="F99" s="15" t="s">
        <v>296</v>
      </c>
      <c r="G99" s="44" t="s">
        <v>73</v>
      </c>
      <c r="H99" s="45" t="s">
        <v>244</v>
      </c>
      <c r="I99" s="16">
        <v>1</v>
      </c>
      <c r="J99" s="16">
        <v>9800</v>
      </c>
      <c r="K99" s="16">
        <f t="shared" si="2"/>
        <v>9800</v>
      </c>
      <c r="L99" s="16"/>
      <c r="M99" s="16"/>
      <c r="N99" s="16"/>
      <c r="O99" s="44" t="s">
        <v>27</v>
      </c>
      <c r="P99" s="27"/>
      <c r="Q99" s="19"/>
    </row>
    <row r="100" spans="2:18" ht="25.5" x14ac:dyDescent="0.2">
      <c r="B100" s="14" t="s">
        <v>18</v>
      </c>
      <c r="C100" s="15" t="s">
        <v>297</v>
      </c>
      <c r="D100" s="15" t="s">
        <v>298</v>
      </c>
      <c r="E100" s="15" t="s">
        <v>299</v>
      </c>
      <c r="F100" s="15" t="s">
        <v>300</v>
      </c>
      <c r="G100" s="44" t="s">
        <v>73</v>
      </c>
      <c r="H100" s="45" t="s">
        <v>244</v>
      </c>
      <c r="I100" s="16">
        <v>1</v>
      </c>
      <c r="J100" s="16">
        <v>30000</v>
      </c>
      <c r="K100" s="16">
        <f t="shared" si="2"/>
        <v>30000</v>
      </c>
      <c r="L100" s="16"/>
      <c r="M100" s="16"/>
      <c r="N100" s="16"/>
      <c r="O100" s="44" t="s">
        <v>301</v>
      </c>
      <c r="P100" s="27"/>
      <c r="Q100" s="19"/>
    </row>
    <row r="101" spans="2:18" ht="38.25" x14ac:dyDescent="0.2">
      <c r="B101" s="14" t="s">
        <v>18</v>
      </c>
      <c r="C101" s="15" t="s">
        <v>297</v>
      </c>
      <c r="D101" s="15" t="s">
        <v>298</v>
      </c>
      <c r="E101" s="15" t="s">
        <v>302</v>
      </c>
      <c r="F101" s="15" t="s">
        <v>303</v>
      </c>
      <c r="G101" s="44" t="s">
        <v>73</v>
      </c>
      <c r="H101" s="45" t="s">
        <v>244</v>
      </c>
      <c r="I101" s="16">
        <v>1</v>
      </c>
      <c r="J101" s="16">
        <v>56000</v>
      </c>
      <c r="K101" s="16">
        <f t="shared" si="2"/>
        <v>56000</v>
      </c>
      <c r="L101" s="16"/>
      <c r="M101" s="16"/>
      <c r="N101" s="16"/>
      <c r="O101" s="44" t="s">
        <v>301</v>
      </c>
      <c r="P101" s="27"/>
      <c r="Q101" s="19"/>
    </row>
    <row r="102" spans="2:18" ht="38.25" x14ac:dyDescent="0.2">
      <c r="B102" s="14" t="s">
        <v>18</v>
      </c>
      <c r="C102" s="15" t="s">
        <v>297</v>
      </c>
      <c r="D102" s="15" t="s">
        <v>298</v>
      </c>
      <c r="E102" s="15" t="s">
        <v>304</v>
      </c>
      <c r="F102" s="15" t="s">
        <v>305</v>
      </c>
      <c r="G102" s="44" t="s">
        <v>73</v>
      </c>
      <c r="H102" s="45" t="s">
        <v>244</v>
      </c>
      <c r="I102" s="16">
        <v>1</v>
      </c>
      <c r="J102" s="16">
        <f>848214.29+376607.14+500000</f>
        <v>1724821.4300000002</v>
      </c>
      <c r="K102" s="16">
        <f t="shared" si="2"/>
        <v>1724821.4300000002</v>
      </c>
      <c r="L102" s="16"/>
      <c r="M102" s="16"/>
      <c r="N102" s="16"/>
      <c r="O102" s="48" t="s">
        <v>306</v>
      </c>
      <c r="P102" s="27"/>
      <c r="Q102" s="19"/>
    </row>
    <row r="103" spans="2:18" ht="25.5" x14ac:dyDescent="0.2">
      <c r="B103" s="14" t="s">
        <v>18</v>
      </c>
      <c r="C103" s="15" t="s">
        <v>297</v>
      </c>
      <c r="D103" s="15" t="s">
        <v>298</v>
      </c>
      <c r="E103" s="15" t="s">
        <v>308</v>
      </c>
      <c r="F103" s="15" t="s">
        <v>309</v>
      </c>
      <c r="G103" s="44" t="s">
        <v>73</v>
      </c>
      <c r="H103" s="45" t="s">
        <v>244</v>
      </c>
      <c r="I103" s="16">
        <v>1</v>
      </c>
      <c r="J103" s="16">
        <v>329000</v>
      </c>
      <c r="K103" s="16">
        <f t="shared" ref="K103:K122" si="3">I103*J103</f>
        <v>329000</v>
      </c>
      <c r="L103" s="16"/>
      <c r="M103" s="16"/>
      <c r="N103" s="16"/>
      <c r="O103" s="48" t="s">
        <v>306</v>
      </c>
      <c r="P103" s="27"/>
      <c r="Q103" s="19"/>
      <c r="R103" s="19" t="e">
        <f>#REF!-Q103</f>
        <v>#REF!</v>
      </c>
    </row>
    <row r="104" spans="2:18" ht="25.5" x14ac:dyDescent="0.2">
      <c r="B104" s="14" t="s">
        <v>18</v>
      </c>
      <c r="C104" s="15" t="s">
        <v>297</v>
      </c>
      <c r="D104" s="15" t="s">
        <v>298</v>
      </c>
      <c r="E104" s="15" t="s">
        <v>310</v>
      </c>
      <c r="F104" s="15" t="s">
        <v>311</v>
      </c>
      <c r="G104" s="44" t="s">
        <v>73</v>
      </c>
      <c r="H104" s="45" t="s">
        <v>244</v>
      </c>
      <c r="I104" s="16">
        <v>1</v>
      </c>
      <c r="J104" s="16">
        <v>360000</v>
      </c>
      <c r="K104" s="16">
        <f t="shared" si="3"/>
        <v>360000</v>
      </c>
      <c r="L104" s="16"/>
      <c r="M104" s="16"/>
      <c r="N104" s="16"/>
      <c r="O104" s="48" t="s">
        <v>307</v>
      </c>
      <c r="P104" s="27"/>
      <c r="Q104" s="19"/>
    </row>
    <row r="105" spans="2:18" ht="25.5" x14ac:dyDescent="0.2">
      <c r="B105" s="14" t="s">
        <v>18</v>
      </c>
      <c r="C105" s="15" t="s">
        <v>297</v>
      </c>
      <c r="D105" s="15" t="s">
        <v>298</v>
      </c>
      <c r="E105" s="15" t="s">
        <v>312</v>
      </c>
      <c r="F105" s="15" t="s">
        <v>313</v>
      </c>
      <c r="G105" s="44" t="s">
        <v>73</v>
      </c>
      <c r="H105" s="45" t="s">
        <v>244</v>
      </c>
      <c r="I105" s="16">
        <v>1</v>
      </c>
      <c r="J105" s="16">
        <v>375000</v>
      </c>
      <c r="K105" s="16">
        <f t="shared" si="3"/>
        <v>375000</v>
      </c>
      <c r="L105" s="16"/>
      <c r="M105" s="16"/>
      <c r="N105" s="16"/>
      <c r="O105" s="48" t="s">
        <v>307</v>
      </c>
      <c r="P105" s="27"/>
      <c r="Q105" s="19"/>
    </row>
    <row r="106" spans="2:18" ht="51" x14ac:dyDescent="0.2">
      <c r="B106" s="14" t="s">
        <v>18</v>
      </c>
      <c r="C106" s="15" t="s">
        <v>297</v>
      </c>
      <c r="D106" s="15" t="s">
        <v>298</v>
      </c>
      <c r="E106" s="15" t="s">
        <v>314</v>
      </c>
      <c r="F106" s="15" t="s">
        <v>315</v>
      </c>
      <c r="G106" s="44" t="s">
        <v>73</v>
      </c>
      <c r="H106" s="45" t="s">
        <v>244</v>
      </c>
      <c r="I106" s="16">
        <v>1</v>
      </c>
      <c r="J106" s="16">
        <v>4999999</v>
      </c>
      <c r="K106" s="16">
        <f t="shared" si="3"/>
        <v>4999999</v>
      </c>
      <c r="L106" s="16"/>
      <c r="M106" s="16"/>
      <c r="N106" s="16"/>
      <c r="O106" s="48" t="s">
        <v>307</v>
      </c>
      <c r="P106" s="27"/>
      <c r="Q106" s="19"/>
    </row>
    <row r="107" spans="2:18" ht="25.5" x14ac:dyDescent="0.2">
      <c r="B107" s="14" t="s">
        <v>18</v>
      </c>
      <c r="C107" s="15" t="s">
        <v>297</v>
      </c>
      <c r="D107" s="15" t="s">
        <v>298</v>
      </c>
      <c r="E107" s="15" t="s">
        <v>316</v>
      </c>
      <c r="F107" s="15" t="s">
        <v>317</v>
      </c>
      <c r="G107" s="44" t="s">
        <v>73</v>
      </c>
      <c r="H107" s="45" t="s">
        <v>244</v>
      </c>
      <c r="I107" s="16">
        <v>1</v>
      </c>
      <c r="J107" s="16">
        <f>1900000</f>
        <v>1900000</v>
      </c>
      <c r="K107" s="16">
        <f t="shared" si="3"/>
        <v>1900000</v>
      </c>
      <c r="L107" s="16"/>
      <c r="M107" s="17"/>
      <c r="N107" s="16"/>
      <c r="O107" s="48" t="s">
        <v>306</v>
      </c>
      <c r="P107" s="27"/>
      <c r="Q107" s="19"/>
    </row>
    <row r="108" spans="2:18" ht="38.25" x14ac:dyDescent="0.2">
      <c r="B108" s="14" t="s">
        <v>18</v>
      </c>
      <c r="C108" s="15" t="s">
        <v>297</v>
      </c>
      <c r="D108" s="15" t="s">
        <v>298</v>
      </c>
      <c r="E108" s="15" t="s">
        <v>318</v>
      </c>
      <c r="F108" s="15" t="s">
        <v>319</v>
      </c>
      <c r="G108" s="44" t="s">
        <v>22</v>
      </c>
      <c r="H108" s="45" t="s">
        <v>244</v>
      </c>
      <c r="I108" s="16">
        <v>1</v>
      </c>
      <c r="J108" s="16">
        <v>715000</v>
      </c>
      <c r="K108" s="16">
        <f t="shared" si="3"/>
        <v>715000</v>
      </c>
      <c r="L108" s="16"/>
      <c r="M108" s="17"/>
      <c r="N108" s="16"/>
      <c r="O108" s="48" t="s">
        <v>306</v>
      </c>
      <c r="P108" s="27"/>
      <c r="Q108" s="19"/>
    </row>
    <row r="109" spans="2:18" ht="25.5" x14ac:dyDescent="0.2">
      <c r="B109" s="14" t="s">
        <v>18</v>
      </c>
      <c r="C109" s="15" t="s">
        <v>297</v>
      </c>
      <c r="D109" s="15" t="s">
        <v>298</v>
      </c>
      <c r="E109" s="15" t="s">
        <v>320</v>
      </c>
      <c r="F109" s="15" t="s">
        <v>321</v>
      </c>
      <c r="G109" s="44" t="s">
        <v>22</v>
      </c>
      <c r="H109" s="45" t="s">
        <v>244</v>
      </c>
      <c r="I109" s="16">
        <v>1</v>
      </c>
      <c r="J109" s="16">
        <v>255000</v>
      </c>
      <c r="K109" s="16">
        <f t="shared" si="3"/>
        <v>255000</v>
      </c>
      <c r="L109" s="16"/>
      <c r="M109" s="17"/>
      <c r="N109" s="16"/>
      <c r="O109" s="48" t="s">
        <v>306</v>
      </c>
      <c r="P109" s="27"/>
      <c r="Q109" s="19"/>
    </row>
    <row r="110" spans="2:18" ht="25.5" x14ac:dyDescent="0.2">
      <c r="B110" s="14" t="s">
        <v>18</v>
      </c>
      <c r="C110" s="15" t="s">
        <v>297</v>
      </c>
      <c r="D110" s="15" t="s">
        <v>298</v>
      </c>
      <c r="E110" s="15" t="s">
        <v>322</v>
      </c>
      <c r="F110" s="15" t="s">
        <v>323</v>
      </c>
      <c r="G110" s="44" t="s">
        <v>22</v>
      </c>
      <c r="H110" s="45" t="s">
        <v>244</v>
      </c>
      <c r="I110" s="16">
        <v>1</v>
      </c>
      <c r="J110" s="16">
        <f>138000</f>
        <v>138000</v>
      </c>
      <c r="K110" s="16">
        <f t="shared" si="3"/>
        <v>138000</v>
      </c>
      <c r="L110" s="16"/>
      <c r="M110" s="17"/>
      <c r="N110" s="16"/>
      <c r="O110" s="48" t="s">
        <v>306</v>
      </c>
      <c r="P110" s="27"/>
      <c r="Q110" s="19"/>
    </row>
    <row r="111" spans="2:18" ht="25.5" x14ac:dyDescent="0.2">
      <c r="B111" s="14" t="s">
        <v>18</v>
      </c>
      <c r="C111" s="15" t="s">
        <v>324</v>
      </c>
      <c r="D111" s="15" t="s">
        <v>325</v>
      </c>
      <c r="E111" s="15" t="s">
        <v>326</v>
      </c>
      <c r="F111" s="15" t="s">
        <v>327</v>
      </c>
      <c r="G111" s="44" t="s">
        <v>73</v>
      </c>
      <c r="H111" s="45" t="s">
        <v>244</v>
      </c>
      <c r="I111" s="16">
        <v>1</v>
      </c>
      <c r="J111" s="16">
        <v>2127336.4500000002</v>
      </c>
      <c r="K111" s="16">
        <f t="shared" si="3"/>
        <v>2127336.4500000002</v>
      </c>
      <c r="L111" s="16"/>
      <c r="M111" s="16"/>
      <c r="N111" s="16"/>
      <c r="O111" s="48" t="s">
        <v>27</v>
      </c>
      <c r="P111" s="27"/>
      <c r="Q111" s="19"/>
    </row>
    <row r="112" spans="2:18" ht="38.25" x14ac:dyDescent="0.2">
      <c r="B112" s="14" t="s">
        <v>18</v>
      </c>
      <c r="C112" s="15" t="s">
        <v>328</v>
      </c>
      <c r="D112" s="15" t="s">
        <v>329</v>
      </c>
      <c r="E112" s="15" t="s">
        <v>330</v>
      </c>
      <c r="F112" s="15" t="s">
        <v>331</v>
      </c>
      <c r="G112" s="44" t="s">
        <v>73</v>
      </c>
      <c r="H112" s="45" t="s">
        <v>244</v>
      </c>
      <c r="I112" s="16">
        <v>1</v>
      </c>
      <c r="J112" s="16">
        <f>1336575-1281540.1</f>
        <v>55034.899999999907</v>
      </c>
      <c r="K112" s="16">
        <f t="shared" si="3"/>
        <v>55034.899999999907</v>
      </c>
      <c r="L112" s="16"/>
      <c r="M112" s="16"/>
      <c r="N112" s="16"/>
      <c r="O112" s="48" t="s">
        <v>27</v>
      </c>
      <c r="P112" s="18"/>
      <c r="Q112" s="19"/>
    </row>
    <row r="113" spans="2:19" ht="38.25" x14ac:dyDescent="0.2">
      <c r="B113" s="14" t="s">
        <v>18</v>
      </c>
      <c r="C113" s="15" t="s">
        <v>328</v>
      </c>
      <c r="D113" s="15" t="s">
        <v>329</v>
      </c>
      <c r="E113" s="15" t="s">
        <v>330</v>
      </c>
      <c r="F113" s="15" t="s">
        <v>331</v>
      </c>
      <c r="G113" s="44" t="s">
        <v>73</v>
      </c>
      <c r="H113" s="45" t="s">
        <v>244</v>
      </c>
      <c r="I113" s="16">
        <v>1</v>
      </c>
      <c r="J113" s="16">
        <v>1281540.1000000001</v>
      </c>
      <c r="K113" s="16">
        <f t="shared" si="3"/>
        <v>1281540.1000000001</v>
      </c>
      <c r="L113" s="16"/>
      <c r="M113" s="16"/>
      <c r="N113" s="16"/>
      <c r="O113" s="48" t="s">
        <v>53</v>
      </c>
      <c r="P113" s="18"/>
      <c r="Q113" s="19"/>
    </row>
    <row r="114" spans="2:19" ht="38.25" x14ac:dyDescent="0.2">
      <c r="B114" s="14" t="s">
        <v>18</v>
      </c>
      <c r="C114" s="15" t="s">
        <v>332</v>
      </c>
      <c r="D114" s="15" t="s">
        <v>333</v>
      </c>
      <c r="E114" s="15" t="s">
        <v>334</v>
      </c>
      <c r="F114" s="15" t="s">
        <v>335</v>
      </c>
      <c r="G114" s="44" t="s">
        <v>245</v>
      </c>
      <c r="H114" s="45" t="s">
        <v>244</v>
      </c>
      <c r="I114" s="16">
        <v>1</v>
      </c>
      <c r="J114" s="16">
        <v>17822161.66</v>
      </c>
      <c r="K114" s="16">
        <f t="shared" si="3"/>
        <v>17822161.66</v>
      </c>
      <c r="L114" s="16"/>
      <c r="M114" s="16"/>
      <c r="N114" s="16"/>
      <c r="O114" s="48" t="s">
        <v>27</v>
      </c>
      <c r="P114" s="18"/>
      <c r="Q114" s="19"/>
    </row>
    <row r="115" spans="2:19" ht="25.5" x14ac:dyDescent="0.2">
      <c r="B115" s="14" t="s">
        <v>18</v>
      </c>
      <c r="C115" s="15" t="s">
        <v>332</v>
      </c>
      <c r="D115" s="15" t="s">
        <v>333</v>
      </c>
      <c r="E115" s="15" t="s">
        <v>334</v>
      </c>
      <c r="F115" s="15" t="s">
        <v>335</v>
      </c>
      <c r="G115" s="44" t="s">
        <v>255</v>
      </c>
      <c r="H115" s="45" t="s">
        <v>244</v>
      </c>
      <c r="I115" s="16">
        <v>1</v>
      </c>
      <c r="J115" s="16">
        <f>10977838.34+12272383.66</f>
        <v>23250222</v>
      </c>
      <c r="K115" s="16">
        <f t="shared" si="3"/>
        <v>23250222</v>
      </c>
      <c r="L115" s="16"/>
      <c r="M115" s="16"/>
      <c r="N115" s="16"/>
      <c r="O115" s="44" t="s">
        <v>27</v>
      </c>
      <c r="P115" s="18"/>
      <c r="Q115" s="19"/>
    </row>
    <row r="116" spans="2:19" ht="25.5" x14ac:dyDescent="0.2">
      <c r="B116" s="14" t="s">
        <v>18</v>
      </c>
      <c r="C116" s="15" t="s">
        <v>332</v>
      </c>
      <c r="D116" s="15" t="s">
        <v>333</v>
      </c>
      <c r="E116" s="15" t="s">
        <v>336</v>
      </c>
      <c r="F116" s="15" t="s">
        <v>337</v>
      </c>
      <c r="G116" s="44" t="s">
        <v>255</v>
      </c>
      <c r="H116" s="45" t="s">
        <v>244</v>
      </c>
      <c r="I116" s="16">
        <v>1</v>
      </c>
      <c r="J116" s="16">
        <f>28800000-4800000</f>
        <v>24000000</v>
      </c>
      <c r="K116" s="16">
        <f t="shared" si="3"/>
        <v>24000000</v>
      </c>
      <c r="L116" s="16"/>
      <c r="M116" s="16"/>
      <c r="N116" s="16"/>
      <c r="O116" s="44" t="s">
        <v>338</v>
      </c>
      <c r="P116" s="18"/>
      <c r="Q116" s="19"/>
    </row>
    <row r="117" spans="2:19" ht="30.75" customHeight="1" x14ac:dyDescent="0.2">
      <c r="B117" s="14" t="s">
        <v>18</v>
      </c>
      <c r="C117" s="15" t="s">
        <v>332</v>
      </c>
      <c r="D117" s="15" t="s">
        <v>333</v>
      </c>
      <c r="E117" s="15" t="s">
        <v>339</v>
      </c>
      <c r="F117" s="15" t="s">
        <v>340</v>
      </c>
      <c r="G117" s="44" t="s">
        <v>255</v>
      </c>
      <c r="H117" s="45" t="s">
        <v>244</v>
      </c>
      <c r="I117" s="16"/>
      <c r="J117" s="16"/>
      <c r="K117" s="16"/>
      <c r="L117" s="16"/>
      <c r="M117" s="16"/>
      <c r="N117" s="16"/>
      <c r="O117" s="44" t="s">
        <v>53</v>
      </c>
      <c r="P117" s="18"/>
      <c r="Q117" s="19"/>
    </row>
    <row r="118" spans="2:19" ht="25.5" x14ac:dyDescent="0.2">
      <c r="B118" s="14" t="s">
        <v>18</v>
      </c>
      <c r="C118" s="15" t="s">
        <v>332</v>
      </c>
      <c r="D118" s="15" t="s">
        <v>333</v>
      </c>
      <c r="E118" s="15" t="s">
        <v>341</v>
      </c>
      <c r="F118" s="15" t="s">
        <v>342</v>
      </c>
      <c r="G118" s="44" t="s">
        <v>73</v>
      </c>
      <c r="H118" s="45" t="s">
        <v>244</v>
      </c>
      <c r="I118" s="16">
        <v>1</v>
      </c>
      <c r="J118" s="16">
        <v>780000</v>
      </c>
      <c r="K118" s="16">
        <f t="shared" si="3"/>
        <v>780000</v>
      </c>
      <c r="L118" s="16"/>
      <c r="M118" s="16"/>
      <c r="N118" s="16"/>
      <c r="O118" s="44" t="s">
        <v>338</v>
      </c>
      <c r="P118" s="18"/>
      <c r="Q118" s="19"/>
    </row>
    <row r="119" spans="2:19" ht="38.25" x14ac:dyDescent="0.2">
      <c r="B119" s="14" t="s">
        <v>18</v>
      </c>
      <c r="C119" s="15" t="s">
        <v>332</v>
      </c>
      <c r="D119" s="15" t="s">
        <v>333</v>
      </c>
      <c r="E119" s="15" t="s">
        <v>343</v>
      </c>
      <c r="F119" s="15" t="s">
        <v>344</v>
      </c>
      <c r="G119" s="44" t="s">
        <v>245</v>
      </c>
      <c r="H119" s="45" t="s">
        <v>244</v>
      </c>
      <c r="I119" s="16">
        <v>1</v>
      </c>
      <c r="J119" s="16">
        <f>431199.99+318500.01</f>
        <v>749700</v>
      </c>
      <c r="K119" s="16">
        <f t="shared" si="3"/>
        <v>749700</v>
      </c>
      <c r="L119" s="16"/>
      <c r="M119" s="16"/>
      <c r="N119" s="16"/>
      <c r="O119" s="44" t="s">
        <v>338</v>
      </c>
      <c r="P119" s="18"/>
      <c r="Q119" s="19"/>
    </row>
    <row r="120" spans="2:19" ht="25.5" x14ac:dyDescent="0.2">
      <c r="B120" s="14" t="s">
        <v>18</v>
      </c>
      <c r="C120" s="15" t="s">
        <v>332</v>
      </c>
      <c r="D120" s="15" t="s">
        <v>333</v>
      </c>
      <c r="E120" s="15" t="s">
        <v>345</v>
      </c>
      <c r="F120" s="15" t="s">
        <v>346</v>
      </c>
      <c r="G120" s="44" t="s">
        <v>73</v>
      </c>
      <c r="H120" s="45" t="s">
        <v>244</v>
      </c>
      <c r="I120" s="16">
        <v>1</v>
      </c>
      <c r="J120" s="16">
        <f>7237500-449800-249900-6391.05</f>
        <v>6531408.9500000002</v>
      </c>
      <c r="K120" s="16">
        <f t="shared" si="3"/>
        <v>6531408.9500000002</v>
      </c>
      <c r="L120" s="16"/>
      <c r="M120" s="16"/>
      <c r="N120" s="16"/>
      <c r="O120" s="48" t="s">
        <v>53</v>
      </c>
      <c r="P120" s="18"/>
      <c r="Q120" s="19"/>
    </row>
    <row r="121" spans="2:19" ht="25.5" x14ac:dyDescent="0.2">
      <c r="B121" s="14" t="s">
        <v>18</v>
      </c>
      <c r="C121" s="15" t="s">
        <v>332</v>
      </c>
      <c r="D121" s="15" t="s">
        <v>333</v>
      </c>
      <c r="E121" s="15" t="s">
        <v>343</v>
      </c>
      <c r="F121" s="15" t="s">
        <v>344</v>
      </c>
      <c r="G121" s="44" t="s">
        <v>73</v>
      </c>
      <c r="H121" s="45" t="s">
        <v>244</v>
      </c>
      <c r="I121" s="16">
        <v>1</v>
      </c>
      <c r="J121" s="16">
        <f>7237500-6787700</f>
        <v>449800</v>
      </c>
      <c r="K121" s="16">
        <f t="shared" si="3"/>
        <v>449800</v>
      </c>
      <c r="L121" s="16"/>
      <c r="M121" s="16"/>
      <c r="N121" s="16"/>
      <c r="O121" s="48" t="s">
        <v>53</v>
      </c>
      <c r="P121" s="18"/>
      <c r="Q121" s="19"/>
    </row>
    <row r="122" spans="2:19" ht="28.5" customHeight="1" x14ac:dyDescent="0.2">
      <c r="B122" s="14" t="s">
        <v>18</v>
      </c>
      <c r="C122" s="15" t="s">
        <v>332</v>
      </c>
      <c r="D122" s="15" t="s">
        <v>333</v>
      </c>
      <c r="E122" s="15" t="s">
        <v>343</v>
      </c>
      <c r="F122" s="15" t="s">
        <v>344</v>
      </c>
      <c r="G122" s="44" t="s">
        <v>73</v>
      </c>
      <c r="H122" s="45" t="s">
        <v>244</v>
      </c>
      <c r="I122" s="16">
        <v>1</v>
      </c>
      <c r="J122" s="16">
        <f>7237500-6987600</f>
        <v>249900</v>
      </c>
      <c r="K122" s="16">
        <f t="shared" si="3"/>
        <v>249900</v>
      </c>
      <c r="L122" s="16"/>
      <c r="M122" s="16"/>
      <c r="N122" s="16"/>
      <c r="O122" s="48" t="s">
        <v>53</v>
      </c>
      <c r="P122" s="18"/>
      <c r="Q122" s="19"/>
    </row>
    <row r="123" spans="2:19" ht="38.25" x14ac:dyDescent="0.2">
      <c r="B123" s="14" t="s">
        <v>18</v>
      </c>
      <c r="C123" s="15" t="s">
        <v>332</v>
      </c>
      <c r="D123" s="15" t="s">
        <v>333</v>
      </c>
      <c r="E123" s="15" t="s">
        <v>347</v>
      </c>
      <c r="F123" s="15" t="s">
        <v>348</v>
      </c>
      <c r="G123" s="44" t="s">
        <v>245</v>
      </c>
      <c r="H123" s="45" t="s">
        <v>244</v>
      </c>
      <c r="I123" s="16">
        <v>1</v>
      </c>
      <c r="J123" s="16">
        <v>63333.32</v>
      </c>
      <c r="K123" s="16">
        <v>63333.32</v>
      </c>
      <c r="L123" s="16"/>
      <c r="M123" s="16"/>
      <c r="N123" s="16"/>
      <c r="O123" s="48" t="s">
        <v>27</v>
      </c>
      <c r="P123" s="18"/>
      <c r="Q123" s="2"/>
      <c r="R123" s="19"/>
      <c r="S123" s="8" t="s">
        <v>349</v>
      </c>
    </row>
    <row r="124" spans="2:19" ht="25.5" x14ac:dyDescent="0.2">
      <c r="B124" s="14" t="s">
        <v>18</v>
      </c>
      <c r="C124" s="15" t="s">
        <v>332</v>
      </c>
      <c r="D124" s="15" t="s">
        <v>333</v>
      </c>
      <c r="E124" s="15" t="s">
        <v>347</v>
      </c>
      <c r="F124" s="15" t="s">
        <v>348</v>
      </c>
      <c r="G124" s="44" t="s">
        <v>73</v>
      </c>
      <c r="H124" s="45" t="s">
        <v>244</v>
      </c>
      <c r="I124" s="16">
        <v>1</v>
      </c>
      <c r="J124" s="16">
        <f>190000-J123-7600+81826.18</f>
        <v>200892.86</v>
      </c>
      <c r="K124" s="16">
        <f t="shared" ref="K124:K133" si="4">I124*J124</f>
        <v>200892.86</v>
      </c>
      <c r="L124" s="16"/>
      <c r="M124" s="16"/>
      <c r="N124" s="16"/>
      <c r="O124" s="48" t="s">
        <v>53</v>
      </c>
      <c r="P124" s="18"/>
      <c r="Q124" s="19"/>
    </row>
    <row r="125" spans="2:19" ht="25.5" x14ac:dyDescent="0.2">
      <c r="B125" s="14" t="s">
        <v>18</v>
      </c>
      <c r="C125" s="15" t="s">
        <v>350</v>
      </c>
      <c r="D125" s="15" t="s">
        <v>351</v>
      </c>
      <c r="E125" s="15" t="s">
        <v>352</v>
      </c>
      <c r="F125" s="15" t="s">
        <v>353</v>
      </c>
      <c r="G125" s="44" t="s">
        <v>22</v>
      </c>
      <c r="H125" s="45" t="s">
        <v>244</v>
      </c>
      <c r="I125" s="16">
        <v>1</v>
      </c>
      <c r="J125" s="16">
        <v>11860</v>
      </c>
      <c r="K125" s="16">
        <f t="shared" si="4"/>
        <v>11860</v>
      </c>
      <c r="L125" s="16"/>
      <c r="M125" s="16"/>
      <c r="N125" s="16"/>
      <c r="O125" s="48" t="s">
        <v>246</v>
      </c>
      <c r="P125" s="18"/>
      <c r="Q125" s="19"/>
    </row>
    <row r="126" spans="2:19" ht="38.25" x14ac:dyDescent="0.2">
      <c r="B126" s="14" t="s">
        <v>18</v>
      </c>
      <c r="C126" s="15" t="s">
        <v>354</v>
      </c>
      <c r="D126" s="15" t="s">
        <v>355</v>
      </c>
      <c r="E126" s="15" t="s">
        <v>356</v>
      </c>
      <c r="F126" s="15" t="s">
        <v>357</v>
      </c>
      <c r="G126" s="44" t="s">
        <v>245</v>
      </c>
      <c r="H126" s="45" t="s">
        <v>244</v>
      </c>
      <c r="I126" s="16">
        <v>1</v>
      </c>
      <c r="J126" s="16">
        <v>3420000</v>
      </c>
      <c r="K126" s="16">
        <f t="shared" si="4"/>
        <v>3420000</v>
      </c>
      <c r="L126" s="16"/>
      <c r="M126" s="16"/>
      <c r="N126" s="16"/>
      <c r="O126" s="48" t="s">
        <v>27</v>
      </c>
      <c r="P126" s="18"/>
      <c r="Q126" s="19"/>
    </row>
    <row r="127" spans="2:19" ht="25.5" x14ac:dyDescent="0.2">
      <c r="B127" s="14" t="s">
        <v>18</v>
      </c>
      <c r="C127" s="15" t="s">
        <v>354</v>
      </c>
      <c r="D127" s="15" t="s">
        <v>355</v>
      </c>
      <c r="E127" s="15" t="s">
        <v>358</v>
      </c>
      <c r="F127" s="15" t="s">
        <v>359</v>
      </c>
      <c r="G127" s="44" t="s">
        <v>73</v>
      </c>
      <c r="H127" s="45" t="s">
        <v>244</v>
      </c>
      <c r="I127" s="16">
        <v>1</v>
      </c>
      <c r="J127" s="16">
        <f>22650000-3461409.67-780000-6612014.33</f>
        <v>11796575.999999998</v>
      </c>
      <c r="K127" s="16">
        <f t="shared" si="4"/>
        <v>11796575.999999998</v>
      </c>
      <c r="L127" s="16"/>
      <c r="M127" s="16"/>
      <c r="N127" s="16"/>
      <c r="O127" s="48" t="s">
        <v>246</v>
      </c>
      <c r="P127" s="18"/>
      <c r="Q127" s="19"/>
    </row>
    <row r="128" spans="2:19" ht="25.5" x14ac:dyDescent="0.2">
      <c r="B128" s="14" t="s">
        <v>18</v>
      </c>
      <c r="C128" s="15" t="s">
        <v>354</v>
      </c>
      <c r="D128" s="15" t="s">
        <v>355</v>
      </c>
      <c r="E128" s="15" t="s">
        <v>360</v>
      </c>
      <c r="F128" s="15" t="s">
        <v>361</v>
      </c>
      <c r="G128" s="44" t="s">
        <v>255</v>
      </c>
      <c r="H128" s="45" t="s">
        <v>244</v>
      </c>
      <c r="I128" s="16">
        <v>1</v>
      </c>
      <c r="J128" s="16">
        <f>30200000-15200000</f>
        <v>15000000</v>
      </c>
      <c r="K128" s="16">
        <f t="shared" si="4"/>
        <v>15000000</v>
      </c>
      <c r="L128" s="16"/>
      <c r="M128" s="16"/>
      <c r="N128" s="16"/>
      <c r="O128" s="48" t="s">
        <v>27</v>
      </c>
      <c r="P128" s="18"/>
      <c r="Q128" s="19"/>
    </row>
    <row r="129" spans="2:17" ht="25.5" x14ac:dyDescent="0.2">
      <c r="B129" s="14" t="s">
        <v>18</v>
      </c>
      <c r="C129" s="15" t="s">
        <v>354</v>
      </c>
      <c r="D129" s="15" t="s">
        <v>355</v>
      </c>
      <c r="E129" s="15" t="s">
        <v>362</v>
      </c>
      <c r="F129" s="15" t="s">
        <v>363</v>
      </c>
      <c r="G129" s="44" t="s">
        <v>255</v>
      </c>
      <c r="H129" s="45" t="s">
        <v>244</v>
      </c>
      <c r="I129" s="16">
        <v>1</v>
      </c>
      <c r="J129" s="16">
        <v>11796576</v>
      </c>
      <c r="K129" s="16">
        <f t="shared" si="4"/>
        <v>11796576</v>
      </c>
      <c r="L129" s="16"/>
      <c r="M129" s="16"/>
      <c r="N129" s="16"/>
      <c r="O129" s="48" t="s">
        <v>24</v>
      </c>
      <c r="P129" s="18"/>
      <c r="Q129" s="19"/>
    </row>
    <row r="130" spans="2:17" ht="25.5" x14ac:dyDescent="0.2">
      <c r="B130" s="14" t="s">
        <v>18</v>
      </c>
      <c r="C130" s="15" t="s">
        <v>364</v>
      </c>
      <c r="D130" s="15" t="s">
        <v>365</v>
      </c>
      <c r="E130" s="15" t="s">
        <v>366</v>
      </c>
      <c r="F130" s="15" t="s">
        <v>367</v>
      </c>
      <c r="G130" s="44" t="s">
        <v>73</v>
      </c>
      <c r="H130" s="45" t="s">
        <v>244</v>
      </c>
      <c r="I130" s="16">
        <v>1</v>
      </c>
      <c r="J130" s="16">
        <v>3328788.9999999995</v>
      </c>
      <c r="K130" s="16">
        <f t="shared" si="4"/>
        <v>3328788.9999999995</v>
      </c>
      <c r="L130" s="16"/>
      <c r="M130" s="16"/>
      <c r="N130" s="16"/>
      <c r="O130" s="48" t="s">
        <v>27</v>
      </c>
      <c r="P130" s="18"/>
      <c r="Q130" s="19"/>
    </row>
    <row r="131" spans="2:17" ht="25.5" x14ac:dyDescent="0.2">
      <c r="B131" s="14" t="s">
        <v>18</v>
      </c>
      <c r="C131" s="15" t="s">
        <v>364</v>
      </c>
      <c r="D131" s="15" t="s">
        <v>365</v>
      </c>
      <c r="E131" s="15" t="s">
        <v>368</v>
      </c>
      <c r="F131" s="15" t="s">
        <v>369</v>
      </c>
      <c r="G131" s="44" t="s">
        <v>73</v>
      </c>
      <c r="H131" s="45" t="s">
        <v>244</v>
      </c>
      <c r="I131" s="16">
        <v>1</v>
      </c>
      <c r="J131" s="16">
        <f>516718+115425</f>
        <v>632143</v>
      </c>
      <c r="K131" s="16">
        <f>I131*J131</f>
        <v>632143</v>
      </c>
      <c r="L131" s="16"/>
      <c r="M131" s="16"/>
      <c r="N131" s="16"/>
      <c r="O131" s="48" t="s">
        <v>53</v>
      </c>
      <c r="P131" s="18"/>
      <c r="Q131" s="19"/>
    </row>
    <row r="132" spans="2:17" ht="38.25" x14ac:dyDescent="0.2">
      <c r="B132" s="14" t="s">
        <v>18</v>
      </c>
      <c r="C132" s="15" t="s">
        <v>354</v>
      </c>
      <c r="D132" s="15" t="s">
        <v>355</v>
      </c>
      <c r="E132" s="15" t="s">
        <v>370</v>
      </c>
      <c r="F132" s="15" t="s">
        <v>371</v>
      </c>
      <c r="G132" s="44" t="s">
        <v>245</v>
      </c>
      <c r="H132" s="45" t="s">
        <v>244</v>
      </c>
      <c r="I132" s="16">
        <v>1</v>
      </c>
      <c r="J132" s="16">
        <v>9000000</v>
      </c>
      <c r="K132" s="16">
        <f>I132*J132</f>
        <v>9000000</v>
      </c>
      <c r="L132" s="16"/>
      <c r="M132" s="16"/>
      <c r="N132" s="16"/>
      <c r="O132" s="48" t="s">
        <v>27</v>
      </c>
      <c r="P132" s="18"/>
      <c r="Q132" s="19"/>
    </row>
    <row r="133" spans="2:17" ht="25.5" x14ac:dyDescent="0.2">
      <c r="B133" s="14" t="s">
        <v>18</v>
      </c>
      <c r="C133" s="15" t="s">
        <v>354</v>
      </c>
      <c r="D133" s="15" t="s">
        <v>355</v>
      </c>
      <c r="E133" s="15" t="s">
        <v>370</v>
      </c>
      <c r="F133" s="15" t="s">
        <v>371</v>
      </c>
      <c r="G133" s="44" t="s">
        <v>255</v>
      </c>
      <c r="H133" s="45" t="s">
        <v>244</v>
      </c>
      <c r="I133" s="16">
        <v>1</v>
      </c>
      <c r="J133" s="16">
        <v>61474866.960000001</v>
      </c>
      <c r="K133" s="16">
        <f t="shared" si="4"/>
        <v>61474866.960000001</v>
      </c>
      <c r="L133" s="16"/>
      <c r="M133" s="16"/>
      <c r="N133" s="16"/>
      <c r="O133" s="48" t="s">
        <v>27</v>
      </c>
      <c r="P133" s="18"/>
      <c r="Q133" s="19"/>
    </row>
    <row r="134" spans="2:17" ht="37.5" customHeight="1" x14ac:dyDescent="0.2">
      <c r="B134" s="14" t="s">
        <v>18</v>
      </c>
      <c r="C134" s="15" t="s">
        <v>372</v>
      </c>
      <c r="D134" s="15" t="s">
        <v>373</v>
      </c>
      <c r="E134" s="15" t="s">
        <v>374</v>
      </c>
      <c r="F134" s="15" t="s">
        <v>375</v>
      </c>
      <c r="G134" s="44" t="s">
        <v>22</v>
      </c>
      <c r="H134" s="45" t="s">
        <v>244</v>
      </c>
      <c r="I134" s="16">
        <v>1</v>
      </c>
      <c r="J134" s="29">
        <f>428571.45-180000.45</f>
        <v>248571</v>
      </c>
      <c r="K134" s="16">
        <f>I134*J134</f>
        <v>248571</v>
      </c>
      <c r="L134" s="16"/>
      <c r="M134" s="16"/>
      <c r="N134" s="16"/>
      <c r="O134" s="48" t="s">
        <v>27</v>
      </c>
      <c r="P134" s="27"/>
      <c r="Q134" s="19"/>
    </row>
    <row r="135" spans="2:17" ht="33.75" customHeight="1" x14ac:dyDescent="0.2">
      <c r="B135" s="14" t="s">
        <v>18</v>
      </c>
      <c r="C135" s="15" t="s">
        <v>372</v>
      </c>
      <c r="D135" s="15" t="s">
        <v>373</v>
      </c>
      <c r="E135" s="15" t="s">
        <v>376</v>
      </c>
      <c r="F135" s="15" t="s">
        <v>377</v>
      </c>
      <c r="G135" s="44" t="s">
        <v>22</v>
      </c>
      <c r="H135" s="45" t="s">
        <v>244</v>
      </c>
      <c r="I135" s="16">
        <v>1</v>
      </c>
      <c r="J135" s="16">
        <v>504464.3</v>
      </c>
      <c r="K135" s="16">
        <f>I135*J135</f>
        <v>504464.3</v>
      </c>
      <c r="L135" s="16"/>
      <c r="M135" s="16"/>
      <c r="N135" s="16"/>
      <c r="O135" s="48" t="s">
        <v>27</v>
      </c>
      <c r="P135" s="18"/>
      <c r="Q135" s="19"/>
    </row>
    <row r="136" spans="2:17" ht="39" customHeight="1" x14ac:dyDescent="0.2">
      <c r="B136" s="14" t="s">
        <v>18</v>
      </c>
      <c r="C136" s="15" t="s">
        <v>372</v>
      </c>
      <c r="D136" s="15" t="s">
        <v>373</v>
      </c>
      <c r="E136" s="15" t="s">
        <v>378</v>
      </c>
      <c r="F136" s="15" t="s">
        <v>379</v>
      </c>
      <c r="G136" s="44" t="s">
        <v>73</v>
      </c>
      <c r="H136" s="45" t="s">
        <v>244</v>
      </c>
      <c r="I136" s="16">
        <v>1</v>
      </c>
      <c r="J136" s="16">
        <v>491071.45</v>
      </c>
      <c r="K136" s="16">
        <f t="shared" ref="K136:K146" si="5">I136*J136</f>
        <v>491071.45</v>
      </c>
      <c r="L136" s="16"/>
      <c r="M136" s="16"/>
      <c r="N136" s="16"/>
      <c r="O136" s="48" t="s">
        <v>27</v>
      </c>
      <c r="P136" s="18"/>
      <c r="Q136" s="19"/>
    </row>
    <row r="137" spans="2:17" ht="51" x14ac:dyDescent="0.2">
      <c r="B137" s="14" t="s">
        <v>18</v>
      </c>
      <c r="C137" s="15" t="s">
        <v>372</v>
      </c>
      <c r="D137" s="15" t="s">
        <v>373</v>
      </c>
      <c r="E137" s="15" t="s">
        <v>380</v>
      </c>
      <c r="F137" s="15" t="s">
        <v>381</v>
      </c>
      <c r="G137" s="44" t="s">
        <v>22</v>
      </c>
      <c r="H137" s="45" t="s">
        <v>244</v>
      </c>
      <c r="I137" s="16">
        <v>1</v>
      </c>
      <c r="J137" s="16">
        <v>303571.5</v>
      </c>
      <c r="K137" s="16">
        <f t="shared" si="5"/>
        <v>303571.5</v>
      </c>
      <c r="L137" s="16"/>
      <c r="M137" s="16"/>
      <c r="N137" s="16"/>
      <c r="O137" s="48" t="s">
        <v>27</v>
      </c>
      <c r="P137" s="18"/>
      <c r="Q137" s="19"/>
    </row>
    <row r="138" spans="2:17" ht="38.25" x14ac:dyDescent="0.2">
      <c r="B138" s="14" t="s">
        <v>18</v>
      </c>
      <c r="C138" s="15" t="s">
        <v>382</v>
      </c>
      <c r="D138" s="15" t="s">
        <v>383</v>
      </c>
      <c r="E138" s="15" t="s">
        <v>384</v>
      </c>
      <c r="F138" s="15" t="s">
        <v>385</v>
      </c>
      <c r="G138" s="44" t="s">
        <v>245</v>
      </c>
      <c r="H138" s="45" t="s">
        <v>244</v>
      </c>
      <c r="I138" s="16">
        <v>1</v>
      </c>
      <c r="J138" s="16">
        <v>12533333.33</v>
      </c>
      <c r="K138" s="16">
        <f t="shared" si="5"/>
        <v>12533333.33</v>
      </c>
      <c r="L138" s="16"/>
      <c r="M138" s="16"/>
      <c r="N138" s="16"/>
      <c r="O138" s="48" t="s">
        <v>27</v>
      </c>
      <c r="P138" s="18"/>
      <c r="Q138" s="19"/>
    </row>
    <row r="139" spans="2:17" ht="38.25" x14ac:dyDescent="0.2">
      <c r="B139" s="14" t="s">
        <v>18</v>
      </c>
      <c r="C139" s="15" t="s">
        <v>382</v>
      </c>
      <c r="D139" s="15" t="s">
        <v>383</v>
      </c>
      <c r="E139" s="15" t="s">
        <v>384</v>
      </c>
      <c r="F139" s="15" t="s">
        <v>385</v>
      </c>
      <c r="G139" s="44" t="s">
        <v>255</v>
      </c>
      <c r="H139" s="45" t="s">
        <v>244</v>
      </c>
      <c r="I139" s="16">
        <v>1</v>
      </c>
      <c r="J139" s="16">
        <v>40144580.737499997</v>
      </c>
      <c r="K139" s="16">
        <f>I139*J139</f>
        <v>40144580.737499997</v>
      </c>
      <c r="L139" s="16"/>
      <c r="M139" s="16"/>
      <c r="N139" s="16"/>
      <c r="O139" s="48" t="s">
        <v>27</v>
      </c>
      <c r="P139" s="18"/>
      <c r="Q139" s="19"/>
    </row>
    <row r="140" spans="2:17" ht="38.25" x14ac:dyDescent="0.2">
      <c r="B140" s="14" t="s">
        <v>18</v>
      </c>
      <c r="C140" s="15" t="s">
        <v>382</v>
      </c>
      <c r="D140" s="15" t="s">
        <v>383</v>
      </c>
      <c r="E140" s="15" t="s">
        <v>386</v>
      </c>
      <c r="F140" s="15" t="s">
        <v>387</v>
      </c>
      <c r="G140" s="44" t="s">
        <v>73</v>
      </c>
      <c r="H140" s="45" t="s">
        <v>244</v>
      </c>
      <c r="I140" s="16">
        <v>1</v>
      </c>
      <c r="J140" s="29">
        <f>44192554.5-305842.53</f>
        <v>43886711.969999999</v>
      </c>
      <c r="K140" s="16">
        <f t="shared" si="5"/>
        <v>43886711.969999999</v>
      </c>
      <c r="L140" s="16"/>
      <c r="M140" s="16"/>
      <c r="N140" s="16"/>
      <c r="O140" s="48" t="s">
        <v>27</v>
      </c>
      <c r="P140" s="18"/>
      <c r="Q140" s="19"/>
    </row>
    <row r="141" spans="2:17" ht="63.75" x14ac:dyDescent="0.2">
      <c r="B141" s="14" t="s">
        <v>18</v>
      </c>
      <c r="C141" s="15" t="s">
        <v>388</v>
      </c>
      <c r="D141" s="15" t="s">
        <v>389</v>
      </c>
      <c r="E141" s="15" t="s">
        <v>390</v>
      </c>
      <c r="F141" s="15" t="s">
        <v>391</v>
      </c>
      <c r="G141" s="44" t="s">
        <v>73</v>
      </c>
      <c r="H141" s="45" t="s">
        <v>244</v>
      </c>
      <c r="I141" s="16">
        <v>1</v>
      </c>
      <c r="J141" s="16">
        <v>8035714.2999999998</v>
      </c>
      <c r="K141" s="16">
        <f t="shared" si="5"/>
        <v>8035714.2999999998</v>
      </c>
      <c r="L141" s="16"/>
      <c r="M141" s="16"/>
      <c r="N141" s="16"/>
      <c r="O141" s="48" t="s">
        <v>27</v>
      </c>
      <c r="P141" s="18"/>
      <c r="Q141" s="19"/>
    </row>
    <row r="142" spans="2:17" ht="51" x14ac:dyDescent="0.2">
      <c r="B142" s="14" t="s">
        <v>18</v>
      </c>
      <c r="C142" s="15" t="s">
        <v>392</v>
      </c>
      <c r="D142" s="15" t="s">
        <v>393</v>
      </c>
      <c r="E142" s="15" t="s">
        <v>394</v>
      </c>
      <c r="F142" s="15" t="s">
        <v>395</v>
      </c>
      <c r="G142" s="44" t="s">
        <v>396</v>
      </c>
      <c r="H142" s="45" t="s">
        <v>244</v>
      </c>
      <c r="I142" s="16">
        <v>1</v>
      </c>
      <c r="J142" s="16">
        <v>9232142.8499999996</v>
      </c>
      <c r="K142" s="16">
        <f t="shared" si="5"/>
        <v>9232142.8499999996</v>
      </c>
      <c r="L142" s="16"/>
      <c r="M142" s="16"/>
      <c r="N142" s="16"/>
      <c r="O142" s="48" t="s">
        <v>27</v>
      </c>
      <c r="P142" s="18"/>
      <c r="Q142" s="19"/>
    </row>
    <row r="143" spans="2:17" ht="51" x14ac:dyDescent="0.2">
      <c r="B143" s="14" t="s">
        <v>18</v>
      </c>
      <c r="C143" s="15" t="s">
        <v>397</v>
      </c>
      <c r="D143" s="15" t="s">
        <v>393</v>
      </c>
      <c r="E143" s="15" t="s">
        <v>398</v>
      </c>
      <c r="F143" s="15" t="s">
        <v>399</v>
      </c>
      <c r="G143" s="44" t="s">
        <v>245</v>
      </c>
      <c r="H143" s="45" t="s">
        <v>244</v>
      </c>
      <c r="I143" s="16">
        <v>1</v>
      </c>
      <c r="J143" s="16">
        <v>133333</v>
      </c>
      <c r="K143" s="16">
        <f t="shared" si="5"/>
        <v>133333</v>
      </c>
      <c r="L143" s="16"/>
      <c r="M143" s="16"/>
      <c r="N143" s="16"/>
      <c r="O143" s="48" t="s">
        <v>27</v>
      </c>
      <c r="P143" s="18"/>
      <c r="Q143" s="19"/>
    </row>
    <row r="144" spans="2:17" ht="51" x14ac:dyDescent="0.2">
      <c r="B144" s="14" t="s">
        <v>18</v>
      </c>
      <c r="C144" s="15" t="s">
        <v>397</v>
      </c>
      <c r="D144" s="15" t="s">
        <v>393</v>
      </c>
      <c r="E144" s="15" t="s">
        <v>398</v>
      </c>
      <c r="F144" s="15" t="s">
        <v>399</v>
      </c>
      <c r="G144" s="44" t="s">
        <v>396</v>
      </c>
      <c r="H144" s="45" t="s">
        <v>244</v>
      </c>
      <c r="I144" s="16">
        <v>1</v>
      </c>
      <c r="J144" s="29">
        <f>1275000-255000</f>
        <v>1020000</v>
      </c>
      <c r="K144" s="16">
        <f t="shared" si="5"/>
        <v>1020000</v>
      </c>
      <c r="L144" s="16"/>
      <c r="M144" s="16"/>
      <c r="N144" s="16"/>
      <c r="O144" s="48" t="s">
        <v>27</v>
      </c>
      <c r="P144" s="18"/>
      <c r="Q144" s="19"/>
    </row>
    <row r="145" spans="2:17" ht="51" x14ac:dyDescent="0.2">
      <c r="B145" s="14" t="s">
        <v>18</v>
      </c>
      <c r="C145" s="15" t="s">
        <v>397</v>
      </c>
      <c r="D145" s="15" t="s">
        <v>393</v>
      </c>
      <c r="E145" s="15" t="s">
        <v>400</v>
      </c>
      <c r="F145" s="15" t="s">
        <v>401</v>
      </c>
      <c r="G145" s="44" t="s">
        <v>245</v>
      </c>
      <c r="H145" s="45" t="s">
        <v>244</v>
      </c>
      <c r="I145" s="16">
        <v>1</v>
      </c>
      <c r="J145" s="16">
        <v>146666.67000000001</v>
      </c>
      <c r="K145" s="16">
        <f t="shared" si="5"/>
        <v>146666.67000000001</v>
      </c>
      <c r="L145" s="16"/>
      <c r="M145" s="16"/>
      <c r="N145" s="16"/>
      <c r="O145" s="48" t="s">
        <v>27</v>
      </c>
      <c r="P145" s="18"/>
      <c r="Q145" s="19"/>
    </row>
    <row r="146" spans="2:17" ht="51" x14ac:dyDescent="0.2">
      <c r="B146" s="14" t="s">
        <v>18</v>
      </c>
      <c r="C146" s="15" t="s">
        <v>397</v>
      </c>
      <c r="D146" s="15" t="s">
        <v>393</v>
      </c>
      <c r="E146" s="15" t="s">
        <v>400</v>
      </c>
      <c r="F146" s="15" t="s">
        <v>401</v>
      </c>
      <c r="G146" s="44" t="s">
        <v>396</v>
      </c>
      <c r="H146" s="45" t="s">
        <v>244</v>
      </c>
      <c r="I146" s="16">
        <v>1</v>
      </c>
      <c r="J146" s="29">
        <f>1473750-323750</f>
        <v>1150000</v>
      </c>
      <c r="K146" s="16">
        <f t="shared" si="5"/>
        <v>1150000</v>
      </c>
      <c r="L146" s="16"/>
      <c r="M146" s="16"/>
      <c r="N146" s="16"/>
      <c r="O146" s="48" t="s">
        <v>27</v>
      </c>
      <c r="P146" s="18"/>
      <c r="Q146" s="19"/>
    </row>
    <row r="147" spans="2:17" ht="38.25" x14ac:dyDescent="0.2">
      <c r="B147" s="14" t="s">
        <v>18</v>
      </c>
      <c r="C147" s="15" t="s">
        <v>402</v>
      </c>
      <c r="D147" s="15" t="s">
        <v>403</v>
      </c>
      <c r="E147" s="15" t="s">
        <v>404</v>
      </c>
      <c r="F147" s="15" t="s">
        <v>405</v>
      </c>
      <c r="G147" s="44" t="s">
        <v>396</v>
      </c>
      <c r="H147" s="45" t="s">
        <v>244</v>
      </c>
      <c r="I147" s="16">
        <v>1</v>
      </c>
      <c r="J147" s="29">
        <f>2394047.6-744047.6</f>
        <v>1650000</v>
      </c>
      <c r="K147" s="16">
        <f>I147*J147</f>
        <v>1650000</v>
      </c>
      <c r="L147" s="16"/>
      <c r="M147" s="16"/>
      <c r="N147" s="16"/>
      <c r="O147" s="48" t="s">
        <v>53</v>
      </c>
      <c r="P147" s="18"/>
      <c r="Q147" s="19"/>
    </row>
    <row r="148" spans="2:17" ht="38.25" x14ac:dyDescent="0.2">
      <c r="B148" s="14" t="s">
        <v>18</v>
      </c>
      <c r="C148" s="15" t="s">
        <v>406</v>
      </c>
      <c r="D148" s="15" t="s">
        <v>407</v>
      </c>
      <c r="E148" s="15" t="s">
        <v>408</v>
      </c>
      <c r="F148" s="15" t="s">
        <v>409</v>
      </c>
      <c r="G148" s="44" t="s">
        <v>255</v>
      </c>
      <c r="H148" s="45" t="s">
        <v>244</v>
      </c>
      <c r="I148" s="16">
        <v>1</v>
      </c>
      <c r="J148" s="16">
        <f>3320000-215000</f>
        <v>3105000</v>
      </c>
      <c r="K148" s="16">
        <f t="shared" ref="K148:K204" si="6">I148*J148</f>
        <v>3105000</v>
      </c>
      <c r="L148" s="16"/>
      <c r="M148" s="16"/>
      <c r="N148" s="16"/>
      <c r="O148" s="48" t="s">
        <v>53</v>
      </c>
      <c r="P148" s="27"/>
      <c r="Q148" s="19"/>
    </row>
    <row r="149" spans="2:17" ht="38.25" x14ac:dyDescent="0.2">
      <c r="B149" s="14" t="s">
        <v>18</v>
      </c>
      <c r="C149" s="15" t="s">
        <v>402</v>
      </c>
      <c r="D149" s="15" t="s">
        <v>403</v>
      </c>
      <c r="E149" s="15" t="s">
        <v>410</v>
      </c>
      <c r="F149" s="15" t="s">
        <v>411</v>
      </c>
      <c r="G149" s="44" t="s">
        <v>245</v>
      </c>
      <c r="H149" s="45" t="s">
        <v>244</v>
      </c>
      <c r="I149" s="16">
        <v>1</v>
      </c>
      <c r="J149" s="16">
        <v>9666666.6400000006</v>
      </c>
      <c r="K149" s="16">
        <f t="shared" si="6"/>
        <v>9666666.6400000006</v>
      </c>
      <c r="L149" s="16"/>
      <c r="M149" s="16"/>
      <c r="N149" s="16"/>
      <c r="O149" s="44" t="s">
        <v>27</v>
      </c>
      <c r="P149" s="27"/>
      <c r="Q149" s="19"/>
    </row>
    <row r="150" spans="2:17" ht="38.25" x14ac:dyDescent="0.2">
      <c r="B150" s="14" t="s">
        <v>18</v>
      </c>
      <c r="C150" s="15" t="s">
        <v>402</v>
      </c>
      <c r="D150" s="15" t="s">
        <v>403</v>
      </c>
      <c r="E150" s="15" t="s">
        <v>410</v>
      </c>
      <c r="F150" s="15" t="s">
        <v>411</v>
      </c>
      <c r="G150" s="44" t="s">
        <v>255</v>
      </c>
      <c r="H150" s="45" t="s">
        <v>244</v>
      </c>
      <c r="I150" s="16">
        <v>1</v>
      </c>
      <c r="J150" s="16">
        <f>32315400-7181200+8850225.87+1705704.49</f>
        <v>35690130.359999999</v>
      </c>
      <c r="K150" s="16">
        <f t="shared" si="6"/>
        <v>35690130.359999999</v>
      </c>
      <c r="L150" s="16"/>
      <c r="M150" s="16"/>
      <c r="N150" s="16"/>
      <c r="O150" s="44" t="s">
        <v>24</v>
      </c>
      <c r="P150" s="27"/>
      <c r="Q150" s="19"/>
    </row>
    <row r="151" spans="2:17" ht="38.25" x14ac:dyDescent="0.2">
      <c r="B151" s="14" t="s">
        <v>18</v>
      </c>
      <c r="C151" s="15" t="s">
        <v>402</v>
      </c>
      <c r="D151" s="15" t="s">
        <v>403</v>
      </c>
      <c r="E151" s="15" t="s">
        <v>412</v>
      </c>
      <c r="F151" s="15" t="s">
        <v>413</v>
      </c>
      <c r="G151" s="44" t="s">
        <v>396</v>
      </c>
      <c r="H151" s="45" t="s">
        <v>244</v>
      </c>
      <c r="I151" s="16">
        <v>1</v>
      </c>
      <c r="J151" s="16">
        <f>509310.7+96751.8</f>
        <v>606062.5</v>
      </c>
      <c r="K151" s="16">
        <f>I151*J151</f>
        <v>606062.5</v>
      </c>
      <c r="L151" s="16"/>
      <c r="M151" s="16"/>
      <c r="N151" s="16"/>
      <c r="O151" s="48" t="s">
        <v>53</v>
      </c>
      <c r="P151" s="18"/>
      <c r="Q151" s="19"/>
    </row>
    <row r="152" spans="2:17" ht="38.25" x14ac:dyDescent="0.2">
      <c r="B152" s="14" t="s">
        <v>18</v>
      </c>
      <c r="C152" s="15" t="s">
        <v>382</v>
      </c>
      <c r="D152" s="15" t="s">
        <v>383</v>
      </c>
      <c r="E152" s="15" t="s">
        <v>414</v>
      </c>
      <c r="F152" s="15" t="s">
        <v>415</v>
      </c>
      <c r="G152" s="44" t="s">
        <v>245</v>
      </c>
      <c r="H152" s="45" t="s">
        <v>244</v>
      </c>
      <c r="I152" s="16">
        <v>1</v>
      </c>
      <c r="J152" s="16">
        <f>44997866.64/1.12</f>
        <v>40176666.642857142</v>
      </c>
      <c r="K152" s="16">
        <f>J152</f>
        <v>40176666.642857142</v>
      </c>
      <c r="L152" s="16"/>
      <c r="M152" s="16"/>
      <c r="N152" s="16"/>
      <c r="O152" s="48" t="s">
        <v>27</v>
      </c>
      <c r="P152" s="18"/>
      <c r="Q152" s="19"/>
    </row>
    <row r="153" spans="2:17" ht="38.25" x14ac:dyDescent="0.2">
      <c r="B153" s="14" t="s">
        <v>18</v>
      </c>
      <c r="C153" s="15" t="s">
        <v>382</v>
      </c>
      <c r="D153" s="15" t="s">
        <v>383</v>
      </c>
      <c r="E153" s="15" t="s">
        <v>414</v>
      </c>
      <c r="F153" s="15" t="s">
        <v>415</v>
      </c>
      <c r="G153" s="44" t="s">
        <v>255</v>
      </c>
      <c r="H153" s="45" t="s">
        <v>244</v>
      </c>
      <c r="I153" s="16">
        <v>1</v>
      </c>
      <c r="J153" s="16">
        <v>120433674.67500001</v>
      </c>
      <c r="K153" s="16">
        <f t="shared" si="6"/>
        <v>120433674.67500001</v>
      </c>
      <c r="L153" s="16"/>
      <c r="M153" s="16"/>
      <c r="N153" s="16"/>
      <c r="O153" s="48" t="s">
        <v>27</v>
      </c>
      <c r="P153" s="27"/>
      <c r="Q153" s="19"/>
    </row>
    <row r="154" spans="2:17" ht="51" x14ac:dyDescent="0.2">
      <c r="B154" s="14" t="s">
        <v>18</v>
      </c>
      <c r="C154" s="15" t="s">
        <v>416</v>
      </c>
      <c r="D154" s="15" t="s">
        <v>417</v>
      </c>
      <c r="E154" s="15" t="s">
        <v>418</v>
      </c>
      <c r="F154" s="15" t="s">
        <v>419</v>
      </c>
      <c r="G154" s="44" t="s">
        <v>396</v>
      </c>
      <c r="H154" s="45" t="s">
        <v>284</v>
      </c>
      <c r="I154" s="16">
        <v>1</v>
      </c>
      <c r="J154" s="16">
        <v>850000</v>
      </c>
      <c r="K154" s="16">
        <f t="shared" si="6"/>
        <v>850000</v>
      </c>
      <c r="L154" s="16"/>
      <c r="M154" s="16"/>
      <c r="N154" s="16"/>
      <c r="O154" s="44" t="s">
        <v>307</v>
      </c>
      <c r="P154" s="18"/>
      <c r="Q154" s="19"/>
    </row>
    <row r="155" spans="2:17" ht="38.25" x14ac:dyDescent="0.2">
      <c r="B155" s="14" t="s">
        <v>18</v>
      </c>
      <c r="C155" s="15" t="s">
        <v>420</v>
      </c>
      <c r="D155" s="15" t="s">
        <v>421</v>
      </c>
      <c r="E155" s="15" t="s">
        <v>422</v>
      </c>
      <c r="F155" s="15" t="s">
        <v>423</v>
      </c>
      <c r="G155" s="44" t="s">
        <v>396</v>
      </c>
      <c r="H155" s="45" t="s">
        <v>284</v>
      </c>
      <c r="I155" s="16">
        <v>1</v>
      </c>
      <c r="J155" s="16">
        <v>1031646</v>
      </c>
      <c r="K155" s="16">
        <f t="shared" si="6"/>
        <v>1031646</v>
      </c>
      <c r="L155" s="16"/>
      <c r="M155" s="16"/>
      <c r="N155" s="16"/>
      <c r="O155" s="44" t="s">
        <v>307</v>
      </c>
      <c r="P155" s="18"/>
      <c r="Q155" s="19"/>
    </row>
    <row r="156" spans="2:17" ht="25.5" x14ac:dyDescent="0.2">
      <c r="B156" s="14" t="s">
        <v>18</v>
      </c>
      <c r="C156" s="15" t="s">
        <v>424</v>
      </c>
      <c r="D156" s="15" t="s">
        <v>425</v>
      </c>
      <c r="E156" s="15" t="s">
        <v>426</v>
      </c>
      <c r="F156" s="15" t="s">
        <v>427</v>
      </c>
      <c r="G156" s="44" t="s">
        <v>73</v>
      </c>
      <c r="H156" s="45" t="s">
        <v>244</v>
      </c>
      <c r="I156" s="16">
        <v>1</v>
      </c>
      <c r="J156" s="16">
        <f>40257360+4976160+2200152</f>
        <v>47433672</v>
      </c>
      <c r="K156" s="16">
        <f t="shared" si="6"/>
        <v>47433672</v>
      </c>
      <c r="L156" s="16"/>
      <c r="M156" s="16"/>
      <c r="N156" s="16"/>
      <c r="O156" s="48" t="s">
        <v>24</v>
      </c>
      <c r="P156" s="18"/>
      <c r="Q156" s="19"/>
    </row>
    <row r="157" spans="2:17" ht="25.5" x14ac:dyDescent="0.2">
      <c r="B157" s="14" t="s">
        <v>18</v>
      </c>
      <c r="C157" s="15" t="s">
        <v>424</v>
      </c>
      <c r="D157" s="15" t="s">
        <v>425</v>
      </c>
      <c r="E157" s="15" t="s">
        <v>428</v>
      </c>
      <c r="F157" s="15" t="s">
        <v>429</v>
      </c>
      <c r="G157" s="44" t="s">
        <v>73</v>
      </c>
      <c r="H157" s="45" t="s">
        <v>244</v>
      </c>
      <c r="I157" s="16">
        <v>1</v>
      </c>
      <c r="J157" s="16">
        <f>1800000+342857.14</f>
        <v>2142857.14</v>
      </c>
      <c r="K157" s="16">
        <f t="shared" si="6"/>
        <v>2142857.14</v>
      </c>
      <c r="L157" s="16"/>
      <c r="M157" s="16"/>
      <c r="N157" s="16"/>
      <c r="O157" s="48" t="s">
        <v>24</v>
      </c>
      <c r="P157" s="18"/>
      <c r="Q157" s="19"/>
    </row>
    <row r="158" spans="2:17" ht="38.25" x14ac:dyDescent="0.2">
      <c r="B158" s="14" t="s">
        <v>18</v>
      </c>
      <c r="C158" s="15" t="s">
        <v>424</v>
      </c>
      <c r="D158" s="15" t="s">
        <v>425</v>
      </c>
      <c r="E158" s="15" t="s">
        <v>430</v>
      </c>
      <c r="F158" s="15" t="s">
        <v>431</v>
      </c>
      <c r="G158" s="44" t="s">
        <v>73</v>
      </c>
      <c r="H158" s="45" t="s">
        <v>244</v>
      </c>
      <c r="I158" s="16">
        <v>1</v>
      </c>
      <c r="J158" s="16">
        <v>221906971.81999999</v>
      </c>
      <c r="K158" s="16">
        <f t="shared" si="6"/>
        <v>221906971.81999999</v>
      </c>
      <c r="L158" s="16"/>
      <c r="M158" s="16"/>
      <c r="N158" s="16"/>
      <c r="O158" s="48" t="s">
        <v>27</v>
      </c>
      <c r="P158" s="18"/>
      <c r="Q158" s="19"/>
    </row>
    <row r="159" spans="2:17" ht="25.5" x14ac:dyDescent="0.2">
      <c r="B159" s="14" t="s">
        <v>18</v>
      </c>
      <c r="C159" s="15" t="s">
        <v>424</v>
      </c>
      <c r="D159" s="15" t="s">
        <v>425</v>
      </c>
      <c r="E159" s="15" t="s">
        <v>432</v>
      </c>
      <c r="F159" s="15" t="s">
        <v>433</v>
      </c>
      <c r="G159" s="44" t="s">
        <v>396</v>
      </c>
      <c r="H159" s="45" t="s">
        <v>244</v>
      </c>
      <c r="I159" s="16">
        <v>1</v>
      </c>
      <c r="J159" s="16">
        <v>130116.00000000001</v>
      </c>
      <c r="K159" s="16">
        <f t="shared" si="6"/>
        <v>130116.00000000001</v>
      </c>
      <c r="L159" s="16"/>
      <c r="M159" s="16"/>
      <c r="N159" s="16"/>
      <c r="O159" s="44" t="s">
        <v>246</v>
      </c>
      <c r="P159" s="18"/>
      <c r="Q159" s="19"/>
    </row>
    <row r="160" spans="2:17" ht="35.25" customHeight="1" x14ac:dyDescent="0.2">
      <c r="B160" s="14" t="s">
        <v>18</v>
      </c>
      <c r="C160" s="15" t="s">
        <v>434</v>
      </c>
      <c r="D160" s="15" t="s">
        <v>435</v>
      </c>
      <c r="E160" s="15" t="s">
        <v>436</v>
      </c>
      <c r="F160" s="15" t="s">
        <v>437</v>
      </c>
      <c r="G160" s="44" t="s">
        <v>396</v>
      </c>
      <c r="H160" s="45" t="s">
        <v>244</v>
      </c>
      <c r="I160" s="16">
        <v>1</v>
      </c>
      <c r="J160" s="16">
        <v>750000</v>
      </c>
      <c r="K160" s="16">
        <f t="shared" si="6"/>
        <v>750000</v>
      </c>
      <c r="L160" s="16"/>
      <c r="M160" s="16"/>
      <c r="N160" s="16"/>
      <c r="O160" s="44" t="s">
        <v>262</v>
      </c>
      <c r="P160" s="18"/>
      <c r="Q160" s="19"/>
    </row>
    <row r="161" spans="2:17" ht="25.5" x14ac:dyDescent="0.2">
      <c r="B161" s="14" t="s">
        <v>18</v>
      </c>
      <c r="C161" s="15" t="s">
        <v>424</v>
      </c>
      <c r="D161" s="15" t="s">
        <v>425</v>
      </c>
      <c r="E161" s="15" t="s">
        <v>438</v>
      </c>
      <c r="F161" s="15" t="s">
        <v>439</v>
      </c>
      <c r="G161" s="44" t="s">
        <v>396</v>
      </c>
      <c r="H161" s="45" t="s">
        <v>244</v>
      </c>
      <c r="I161" s="16">
        <v>1</v>
      </c>
      <c r="J161" s="16">
        <v>11999999.999999998</v>
      </c>
      <c r="K161" s="16">
        <f t="shared" si="6"/>
        <v>11999999.999999998</v>
      </c>
      <c r="L161" s="16"/>
      <c r="M161" s="16"/>
      <c r="N161" s="16"/>
      <c r="O161" s="44" t="s">
        <v>440</v>
      </c>
      <c r="P161" s="18"/>
      <c r="Q161" s="19"/>
    </row>
    <row r="162" spans="2:17" ht="25.5" x14ac:dyDescent="0.2">
      <c r="B162" s="14" t="s">
        <v>18</v>
      </c>
      <c r="C162" s="15" t="s">
        <v>424</v>
      </c>
      <c r="D162" s="15" t="s">
        <v>425</v>
      </c>
      <c r="E162" s="15" t="s">
        <v>441</v>
      </c>
      <c r="F162" s="15" t="s">
        <v>442</v>
      </c>
      <c r="G162" s="44" t="s">
        <v>73</v>
      </c>
      <c r="H162" s="45" t="s">
        <v>244</v>
      </c>
      <c r="I162" s="16">
        <v>1</v>
      </c>
      <c r="J162" s="16">
        <f>16714285.7/2</f>
        <v>8357142.8499999996</v>
      </c>
      <c r="K162" s="16">
        <f t="shared" si="6"/>
        <v>8357142.8499999996</v>
      </c>
      <c r="L162" s="16"/>
      <c r="M162" s="16"/>
      <c r="N162" s="16"/>
      <c r="O162" s="44" t="s">
        <v>443</v>
      </c>
      <c r="P162" s="18"/>
      <c r="Q162" s="19"/>
    </row>
    <row r="163" spans="2:17" ht="38.25" x14ac:dyDescent="0.2">
      <c r="B163" s="14" t="s">
        <v>18</v>
      </c>
      <c r="C163" s="15" t="s">
        <v>444</v>
      </c>
      <c r="D163" s="15" t="s">
        <v>445</v>
      </c>
      <c r="E163" s="15" t="s">
        <v>446</v>
      </c>
      <c r="F163" s="15" t="s">
        <v>447</v>
      </c>
      <c r="G163" s="44" t="s">
        <v>255</v>
      </c>
      <c r="H163" s="45" t="s">
        <v>244</v>
      </c>
      <c r="I163" s="16">
        <v>1</v>
      </c>
      <c r="J163" s="16">
        <v>214948800</v>
      </c>
      <c r="K163" s="16">
        <f t="shared" si="6"/>
        <v>214948800</v>
      </c>
      <c r="L163" s="16"/>
      <c r="M163" s="16"/>
      <c r="N163" s="16"/>
      <c r="O163" s="44" t="s">
        <v>306</v>
      </c>
      <c r="P163" s="18"/>
      <c r="Q163" s="19"/>
    </row>
    <row r="164" spans="2:17" ht="38.25" x14ac:dyDescent="0.2">
      <c r="B164" s="14" t="s">
        <v>18</v>
      </c>
      <c r="C164" s="15" t="s">
        <v>448</v>
      </c>
      <c r="D164" s="15" t="s">
        <v>449</v>
      </c>
      <c r="E164" s="22" t="s">
        <v>450</v>
      </c>
      <c r="F164" s="22" t="s">
        <v>451</v>
      </c>
      <c r="G164" s="46" t="s">
        <v>255</v>
      </c>
      <c r="H164" s="47" t="s">
        <v>244</v>
      </c>
      <c r="I164" s="31">
        <v>1</v>
      </c>
      <c r="J164" s="31">
        <f>20240000+10033600</f>
        <v>30273600</v>
      </c>
      <c r="K164" s="31">
        <f t="shared" si="6"/>
        <v>30273600</v>
      </c>
      <c r="L164" s="31"/>
      <c r="M164" s="31"/>
      <c r="N164" s="31"/>
      <c r="O164" s="48" t="s">
        <v>24</v>
      </c>
      <c r="P164" s="18"/>
      <c r="Q164" s="19"/>
    </row>
    <row r="165" spans="2:17" ht="38.25" x14ac:dyDescent="0.2">
      <c r="B165" s="14" t="s">
        <v>18</v>
      </c>
      <c r="C165" s="15" t="s">
        <v>448</v>
      </c>
      <c r="D165" s="15" t="s">
        <v>449</v>
      </c>
      <c r="E165" s="15" t="s">
        <v>452</v>
      </c>
      <c r="F165" s="15" t="s">
        <v>453</v>
      </c>
      <c r="G165" s="44" t="s">
        <v>255</v>
      </c>
      <c r="H165" s="45" t="s">
        <v>244</v>
      </c>
      <c r="I165" s="16">
        <v>1</v>
      </c>
      <c r="J165" s="16">
        <f>12880000+6115200</f>
        <v>18995200</v>
      </c>
      <c r="K165" s="16">
        <f t="shared" si="6"/>
        <v>18995200</v>
      </c>
      <c r="L165" s="16"/>
      <c r="M165" s="16"/>
      <c r="N165" s="16"/>
      <c r="O165" s="48" t="s">
        <v>24</v>
      </c>
      <c r="P165" s="18"/>
      <c r="Q165" s="19"/>
    </row>
    <row r="166" spans="2:17" ht="38.25" x14ac:dyDescent="0.2">
      <c r="B166" s="14" t="s">
        <v>18</v>
      </c>
      <c r="C166" s="15" t="s">
        <v>448</v>
      </c>
      <c r="D166" s="15" t="s">
        <v>449</v>
      </c>
      <c r="E166" s="15" t="s">
        <v>454</v>
      </c>
      <c r="F166" s="15" t="s">
        <v>455</v>
      </c>
      <c r="G166" s="44" t="s">
        <v>255</v>
      </c>
      <c r="H166" s="45" t="s">
        <v>244</v>
      </c>
      <c r="I166" s="16">
        <v>1</v>
      </c>
      <c r="J166" s="16">
        <f>13800000+6679200</f>
        <v>20479200</v>
      </c>
      <c r="K166" s="16">
        <f t="shared" si="6"/>
        <v>20479200</v>
      </c>
      <c r="L166" s="16"/>
      <c r="M166" s="16"/>
      <c r="N166" s="16"/>
      <c r="O166" s="48" t="s">
        <v>24</v>
      </c>
      <c r="P166" s="18"/>
      <c r="Q166" s="19"/>
    </row>
    <row r="167" spans="2:17" ht="38.25" x14ac:dyDescent="0.2">
      <c r="B167" s="14" t="s">
        <v>18</v>
      </c>
      <c r="C167" s="15" t="s">
        <v>448</v>
      </c>
      <c r="D167" s="15" t="s">
        <v>449</v>
      </c>
      <c r="E167" s="15" t="s">
        <v>456</v>
      </c>
      <c r="F167" s="15" t="s">
        <v>457</v>
      </c>
      <c r="G167" s="44" t="s">
        <v>396</v>
      </c>
      <c r="H167" s="45" t="s">
        <v>244</v>
      </c>
      <c r="I167" s="16">
        <v>1</v>
      </c>
      <c r="J167" s="16">
        <v>6906160.7000000002</v>
      </c>
      <c r="K167" s="16">
        <f>I167*J167</f>
        <v>6906160.7000000002</v>
      </c>
      <c r="L167" s="16"/>
      <c r="M167" s="16"/>
      <c r="N167" s="16"/>
      <c r="O167" s="44" t="s">
        <v>306</v>
      </c>
      <c r="P167" s="18"/>
      <c r="Q167" s="19"/>
    </row>
    <row r="168" spans="2:17" ht="38.25" x14ac:dyDescent="0.2">
      <c r="B168" s="14" t="s">
        <v>18</v>
      </c>
      <c r="C168" s="15" t="s">
        <v>444</v>
      </c>
      <c r="D168" s="15" t="s">
        <v>445</v>
      </c>
      <c r="E168" s="15" t="s">
        <v>458</v>
      </c>
      <c r="F168" s="15" t="s">
        <v>459</v>
      </c>
      <c r="G168" s="44" t="s">
        <v>396</v>
      </c>
      <c r="H168" s="45" t="s">
        <v>244</v>
      </c>
      <c r="I168" s="16">
        <v>1</v>
      </c>
      <c r="J168" s="16">
        <f>2298403.6+841740.15</f>
        <v>3140143.75</v>
      </c>
      <c r="K168" s="16">
        <f>I168*J168</f>
        <v>3140143.75</v>
      </c>
      <c r="L168" s="16"/>
      <c r="M168" s="16"/>
      <c r="N168" s="16"/>
      <c r="O168" s="44" t="s">
        <v>306</v>
      </c>
      <c r="P168" s="18"/>
      <c r="Q168" s="19"/>
    </row>
    <row r="169" spans="2:17" ht="38.25" x14ac:dyDescent="0.2">
      <c r="B169" s="14" t="s">
        <v>18</v>
      </c>
      <c r="C169" s="15" t="s">
        <v>444</v>
      </c>
      <c r="D169" s="15" t="s">
        <v>445</v>
      </c>
      <c r="E169" s="15" t="s">
        <v>460</v>
      </c>
      <c r="F169" s="15" t="s">
        <v>461</v>
      </c>
      <c r="G169" s="44" t="s">
        <v>396</v>
      </c>
      <c r="H169" s="45" t="s">
        <v>244</v>
      </c>
      <c r="I169" s="16">
        <v>1</v>
      </c>
      <c r="J169" s="16">
        <f>690000+200400</f>
        <v>890400</v>
      </c>
      <c r="K169" s="16">
        <f>I169*J169</f>
        <v>890400</v>
      </c>
      <c r="L169" s="16"/>
      <c r="M169" s="16"/>
      <c r="N169" s="16"/>
      <c r="O169" s="44" t="s">
        <v>306</v>
      </c>
      <c r="P169" s="18"/>
      <c r="Q169" s="19"/>
    </row>
    <row r="170" spans="2:17" ht="25.5" x14ac:dyDescent="0.2">
      <c r="B170" s="14" t="s">
        <v>18</v>
      </c>
      <c r="C170" s="15" t="s">
        <v>462</v>
      </c>
      <c r="D170" s="15" t="s">
        <v>463</v>
      </c>
      <c r="E170" s="15" t="s">
        <v>464</v>
      </c>
      <c r="F170" s="15" t="s">
        <v>465</v>
      </c>
      <c r="G170" s="44" t="s">
        <v>73</v>
      </c>
      <c r="H170" s="45" t="s">
        <v>466</v>
      </c>
      <c r="I170" s="16">
        <v>1</v>
      </c>
      <c r="J170" s="16">
        <v>1755633.9</v>
      </c>
      <c r="K170" s="16">
        <f t="shared" si="6"/>
        <v>1755633.9</v>
      </c>
      <c r="L170" s="16"/>
      <c r="M170" s="16"/>
      <c r="N170" s="16"/>
      <c r="O170" s="44" t="s">
        <v>307</v>
      </c>
      <c r="P170" s="18"/>
      <c r="Q170" s="19"/>
    </row>
    <row r="171" spans="2:17" ht="38.25" x14ac:dyDescent="0.2">
      <c r="B171" s="14" t="s">
        <v>18</v>
      </c>
      <c r="C171" s="15" t="s">
        <v>448</v>
      </c>
      <c r="D171" s="15" t="s">
        <v>449</v>
      </c>
      <c r="E171" s="15" t="s">
        <v>467</v>
      </c>
      <c r="F171" s="15" t="s">
        <v>468</v>
      </c>
      <c r="G171" s="44" t="s">
        <v>396</v>
      </c>
      <c r="H171" s="45" t="s">
        <v>244</v>
      </c>
      <c r="I171" s="16">
        <v>1</v>
      </c>
      <c r="J171" s="16">
        <v>827999.99999999988</v>
      </c>
      <c r="K171" s="16">
        <f t="shared" si="6"/>
        <v>827999.99999999988</v>
      </c>
      <c r="L171" s="16"/>
      <c r="M171" s="16"/>
      <c r="N171" s="16"/>
      <c r="O171" s="44" t="s">
        <v>306</v>
      </c>
      <c r="P171" s="18"/>
      <c r="Q171" s="19"/>
    </row>
    <row r="172" spans="2:17" ht="63.75" x14ac:dyDescent="0.2">
      <c r="B172" s="14" t="s">
        <v>18</v>
      </c>
      <c r="C172" s="15" t="s">
        <v>469</v>
      </c>
      <c r="D172" s="15" t="s">
        <v>470</v>
      </c>
      <c r="E172" s="15" t="s">
        <v>471</v>
      </c>
      <c r="F172" s="15" t="s">
        <v>472</v>
      </c>
      <c r="G172" s="44" t="s">
        <v>73</v>
      </c>
      <c r="H172" s="45" t="s">
        <v>244</v>
      </c>
      <c r="I172" s="16">
        <v>1</v>
      </c>
      <c r="J172" s="16">
        <v>12300599.999999998</v>
      </c>
      <c r="K172" s="16">
        <f t="shared" si="6"/>
        <v>12300599.999999998</v>
      </c>
      <c r="L172" s="16"/>
      <c r="M172" s="16"/>
      <c r="N172" s="16"/>
      <c r="O172" s="44" t="s">
        <v>27</v>
      </c>
      <c r="P172" s="18"/>
      <c r="Q172" s="19"/>
    </row>
    <row r="173" spans="2:17" ht="38.25" x14ac:dyDescent="0.2">
      <c r="B173" s="14" t="s">
        <v>18</v>
      </c>
      <c r="C173" s="15" t="s">
        <v>444</v>
      </c>
      <c r="D173" s="15" t="s">
        <v>445</v>
      </c>
      <c r="E173" s="15" t="s">
        <v>473</v>
      </c>
      <c r="F173" s="15" t="s">
        <v>474</v>
      </c>
      <c r="G173" s="44" t="s">
        <v>396</v>
      </c>
      <c r="H173" s="45" t="s">
        <v>244</v>
      </c>
      <c r="I173" s="16">
        <v>1</v>
      </c>
      <c r="J173" s="16">
        <v>7903340.2000000002</v>
      </c>
      <c r="K173" s="16">
        <f>I173*J173</f>
        <v>7903340.2000000002</v>
      </c>
      <c r="L173" s="16"/>
      <c r="M173" s="16"/>
      <c r="N173" s="16"/>
      <c r="O173" s="44" t="s">
        <v>306</v>
      </c>
      <c r="P173" s="18"/>
      <c r="Q173" s="19"/>
    </row>
    <row r="174" spans="2:17" ht="38.25" x14ac:dyDescent="0.2">
      <c r="B174" s="14" t="s">
        <v>18</v>
      </c>
      <c r="C174" s="15" t="s">
        <v>448</v>
      </c>
      <c r="D174" s="15" t="s">
        <v>449</v>
      </c>
      <c r="E174" s="15" t="s">
        <v>475</v>
      </c>
      <c r="F174" s="15" t="s">
        <v>476</v>
      </c>
      <c r="G174" s="44" t="s">
        <v>396</v>
      </c>
      <c r="H174" s="45" t="s">
        <v>244</v>
      </c>
      <c r="I174" s="16">
        <v>1</v>
      </c>
      <c r="J174" s="16">
        <v>8293892.8499999996</v>
      </c>
      <c r="K174" s="16">
        <f t="shared" si="6"/>
        <v>8293892.8499999996</v>
      </c>
      <c r="L174" s="16"/>
      <c r="M174" s="16"/>
      <c r="N174" s="16"/>
      <c r="O174" s="44" t="s">
        <v>306</v>
      </c>
      <c r="P174" s="18"/>
      <c r="Q174" s="19"/>
    </row>
    <row r="175" spans="2:17" ht="38.25" x14ac:dyDescent="0.2">
      <c r="B175" s="14" t="s">
        <v>18</v>
      </c>
      <c r="C175" s="15" t="s">
        <v>448</v>
      </c>
      <c r="D175" s="15" t="s">
        <v>449</v>
      </c>
      <c r="E175" s="15" t="s">
        <v>477</v>
      </c>
      <c r="F175" s="15" t="s">
        <v>478</v>
      </c>
      <c r="G175" s="44" t="s">
        <v>396</v>
      </c>
      <c r="H175" s="45" t="s">
        <v>244</v>
      </c>
      <c r="I175" s="16">
        <v>1</v>
      </c>
      <c r="J175" s="16">
        <f>6116988-495330.87</f>
        <v>5621657.1299999999</v>
      </c>
      <c r="K175" s="16">
        <f t="shared" si="6"/>
        <v>5621657.1299999999</v>
      </c>
      <c r="L175" s="16"/>
      <c r="M175" s="16"/>
      <c r="N175" s="16"/>
      <c r="O175" s="44" t="s">
        <v>301</v>
      </c>
      <c r="P175" s="18"/>
      <c r="Q175" s="19"/>
    </row>
    <row r="176" spans="2:17" ht="38.25" x14ac:dyDescent="0.2">
      <c r="B176" s="14" t="s">
        <v>18</v>
      </c>
      <c r="C176" s="15" t="s">
        <v>444</v>
      </c>
      <c r="D176" s="15" t="s">
        <v>445</v>
      </c>
      <c r="E176" s="15" t="s">
        <v>479</v>
      </c>
      <c r="F176" s="15" t="s">
        <v>480</v>
      </c>
      <c r="G176" s="44" t="s">
        <v>73</v>
      </c>
      <c r="H176" s="45" t="s">
        <v>244</v>
      </c>
      <c r="I176" s="16">
        <v>1</v>
      </c>
      <c r="J176" s="16">
        <v>39486607.149999999</v>
      </c>
      <c r="K176" s="16">
        <f t="shared" si="6"/>
        <v>39486607.149999999</v>
      </c>
      <c r="L176" s="16"/>
      <c r="M176" s="16"/>
      <c r="N176" s="16"/>
      <c r="O176" s="44" t="s">
        <v>53</v>
      </c>
      <c r="P176" s="18"/>
      <c r="Q176" s="19"/>
    </row>
    <row r="177" spans="2:17" ht="38.25" x14ac:dyDescent="0.2">
      <c r="B177" s="14" t="s">
        <v>18</v>
      </c>
      <c r="C177" s="15" t="s">
        <v>444</v>
      </c>
      <c r="D177" s="15" t="s">
        <v>445</v>
      </c>
      <c r="E177" s="15" t="s">
        <v>481</v>
      </c>
      <c r="F177" s="15" t="s">
        <v>482</v>
      </c>
      <c r="G177" s="44" t="s">
        <v>255</v>
      </c>
      <c r="H177" s="45" t="s">
        <v>244</v>
      </c>
      <c r="I177" s="16">
        <v>1</v>
      </c>
      <c r="J177" s="16">
        <v>25256340</v>
      </c>
      <c r="K177" s="16">
        <f t="shared" si="6"/>
        <v>25256340</v>
      </c>
      <c r="L177" s="16"/>
      <c r="M177" s="16"/>
      <c r="N177" s="16"/>
      <c r="O177" s="44" t="s">
        <v>53</v>
      </c>
      <c r="P177" s="18"/>
      <c r="Q177" s="19"/>
    </row>
    <row r="178" spans="2:17" ht="38.25" x14ac:dyDescent="0.2">
      <c r="B178" s="14" t="s">
        <v>18</v>
      </c>
      <c r="C178" s="15" t="s">
        <v>444</v>
      </c>
      <c r="D178" s="15" t="s">
        <v>445</v>
      </c>
      <c r="E178" s="15" t="s">
        <v>483</v>
      </c>
      <c r="F178" s="15" t="s">
        <v>484</v>
      </c>
      <c r="G178" s="44" t="s">
        <v>255</v>
      </c>
      <c r="H178" s="45" t="s">
        <v>244</v>
      </c>
      <c r="I178" s="16">
        <v>1</v>
      </c>
      <c r="J178" s="16">
        <f>10637326.5-106326.5</f>
        <v>10531000</v>
      </c>
      <c r="K178" s="16">
        <f t="shared" si="6"/>
        <v>10531000</v>
      </c>
      <c r="L178" s="16"/>
      <c r="M178" s="16"/>
      <c r="N178" s="16"/>
      <c r="O178" s="44" t="s">
        <v>27</v>
      </c>
      <c r="P178" s="18"/>
      <c r="Q178" s="19"/>
    </row>
    <row r="179" spans="2:17" ht="38.25" x14ac:dyDescent="0.2">
      <c r="B179" s="14" t="s">
        <v>18</v>
      </c>
      <c r="C179" s="15" t="s">
        <v>444</v>
      </c>
      <c r="D179" s="15" t="s">
        <v>445</v>
      </c>
      <c r="E179" s="15" t="s">
        <v>485</v>
      </c>
      <c r="F179" s="15" t="s">
        <v>486</v>
      </c>
      <c r="G179" s="44" t="s">
        <v>396</v>
      </c>
      <c r="H179" s="45" t="s">
        <v>244</v>
      </c>
      <c r="I179" s="16">
        <v>1</v>
      </c>
      <c r="J179" s="16">
        <v>2773575.25</v>
      </c>
      <c r="K179" s="16">
        <f t="shared" si="6"/>
        <v>2773575.25</v>
      </c>
      <c r="L179" s="16"/>
      <c r="M179" s="16"/>
      <c r="N179" s="16"/>
      <c r="O179" s="44" t="s">
        <v>53</v>
      </c>
      <c r="P179" s="18"/>
      <c r="Q179" s="19"/>
    </row>
    <row r="180" spans="2:17" ht="51" x14ac:dyDescent="0.2">
      <c r="B180" s="14" t="s">
        <v>18</v>
      </c>
      <c r="C180" s="15" t="s">
        <v>444</v>
      </c>
      <c r="D180" s="15" t="s">
        <v>445</v>
      </c>
      <c r="E180" s="15" t="s">
        <v>487</v>
      </c>
      <c r="F180" s="15" t="s">
        <v>488</v>
      </c>
      <c r="G180" s="44" t="s">
        <v>396</v>
      </c>
      <c r="H180" s="45" t="s">
        <v>244</v>
      </c>
      <c r="I180" s="16">
        <v>1</v>
      </c>
      <c r="J180" s="16">
        <v>229319.99999999997</v>
      </c>
      <c r="K180" s="16">
        <f t="shared" si="6"/>
        <v>229319.99999999997</v>
      </c>
      <c r="L180" s="16"/>
      <c r="M180" s="16"/>
      <c r="N180" s="16"/>
      <c r="O180" s="44" t="s">
        <v>306</v>
      </c>
      <c r="P180" s="18"/>
      <c r="Q180" s="19"/>
    </row>
    <row r="181" spans="2:17" ht="38.25" x14ac:dyDescent="0.2">
      <c r="B181" s="14" t="s">
        <v>18</v>
      </c>
      <c r="C181" s="15" t="s">
        <v>444</v>
      </c>
      <c r="D181" s="15" t="s">
        <v>445</v>
      </c>
      <c r="E181" s="15" t="s">
        <v>489</v>
      </c>
      <c r="F181" s="15" t="s">
        <v>490</v>
      </c>
      <c r="G181" s="44" t="s">
        <v>396</v>
      </c>
      <c r="H181" s="45" t="s">
        <v>244</v>
      </c>
      <c r="I181" s="16">
        <v>1</v>
      </c>
      <c r="J181" s="16">
        <v>675500</v>
      </c>
      <c r="K181" s="16">
        <f t="shared" si="6"/>
        <v>675500</v>
      </c>
      <c r="L181" s="16"/>
      <c r="M181" s="16"/>
      <c r="N181" s="16"/>
      <c r="O181" s="44" t="s">
        <v>306</v>
      </c>
      <c r="P181" s="18"/>
      <c r="Q181" s="19"/>
    </row>
    <row r="182" spans="2:17" ht="38.25" x14ac:dyDescent="0.2">
      <c r="B182" s="14" t="s">
        <v>18</v>
      </c>
      <c r="C182" s="15" t="s">
        <v>444</v>
      </c>
      <c r="D182" s="15" t="s">
        <v>445</v>
      </c>
      <c r="E182" s="15" t="s">
        <v>491</v>
      </c>
      <c r="F182" s="15" t="s">
        <v>492</v>
      </c>
      <c r="G182" s="44" t="s">
        <v>22</v>
      </c>
      <c r="H182" s="45" t="s">
        <v>244</v>
      </c>
      <c r="I182" s="16">
        <v>1</v>
      </c>
      <c r="J182" s="16">
        <f>3490882.5-407129.82</f>
        <v>3083752.68</v>
      </c>
      <c r="K182" s="16">
        <f t="shared" si="6"/>
        <v>3083752.68</v>
      </c>
      <c r="L182" s="16"/>
      <c r="M182" s="16"/>
      <c r="N182" s="16"/>
      <c r="O182" s="44" t="s">
        <v>24</v>
      </c>
      <c r="P182" s="18"/>
      <c r="Q182" s="19"/>
    </row>
    <row r="183" spans="2:17" ht="38.25" x14ac:dyDescent="0.2">
      <c r="B183" s="14" t="s">
        <v>18</v>
      </c>
      <c r="C183" s="15" t="s">
        <v>444</v>
      </c>
      <c r="D183" s="15" t="s">
        <v>445</v>
      </c>
      <c r="E183" s="15" t="s">
        <v>493</v>
      </c>
      <c r="F183" s="15" t="s">
        <v>494</v>
      </c>
      <c r="G183" s="44" t="s">
        <v>22</v>
      </c>
      <c r="H183" s="45" t="s">
        <v>244</v>
      </c>
      <c r="I183" s="16">
        <v>1</v>
      </c>
      <c r="J183" s="16">
        <v>6927227.9999999991</v>
      </c>
      <c r="K183" s="16">
        <f t="shared" si="6"/>
        <v>6927227.9999999991</v>
      </c>
      <c r="L183" s="16"/>
      <c r="M183" s="16"/>
      <c r="N183" s="16"/>
      <c r="O183" s="44" t="s">
        <v>53</v>
      </c>
      <c r="P183" s="18"/>
      <c r="Q183" s="19"/>
    </row>
    <row r="184" spans="2:17" ht="38.25" x14ac:dyDescent="0.2">
      <c r="B184" s="14" t="s">
        <v>18</v>
      </c>
      <c r="C184" s="15" t="s">
        <v>448</v>
      </c>
      <c r="D184" s="15" t="s">
        <v>449</v>
      </c>
      <c r="E184" s="15" t="s">
        <v>495</v>
      </c>
      <c r="F184" s="15" t="s">
        <v>496</v>
      </c>
      <c r="G184" s="44" t="s">
        <v>22</v>
      </c>
      <c r="H184" s="45" t="s">
        <v>244</v>
      </c>
      <c r="I184" s="16">
        <v>1</v>
      </c>
      <c r="J184" s="16">
        <v>3827199.9999999995</v>
      </c>
      <c r="K184" s="16">
        <f t="shared" si="6"/>
        <v>3827199.9999999995</v>
      </c>
      <c r="L184" s="16"/>
      <c r="M184" s="16"/>
      <c r="N184" s="16"/>
      <c r="O184" s="44" t="s">
        <v>27</v>
      </c>
      <c r="P184" s="18"/>
      <c r="Q184" s="19"/>
    </row>
    <row r="185" spans="2:17" ht="38.25" x14ac:dyDescent="0.2">
      <c r="B185" s="14" t="s">
        <v>18</v>
      </c>
      <c r="C185" s="15" t="s">
        <v>444</v>
      </c>
      <c r="D185" s="15" t="s">
        <v>445</v>
      </c>
      <c r="E185" s="15" t="s">
        <v>497</v>
      </c>
      <c r="F185" s="15" t="s">
        <v>498</v>
      </c>
      <c r="G185" s="44" t="s">
        <v>22</v>
      </c>
      <c r="H185" s="45" t="s">
        <v>244</v>
      </c>
      <c r="I185" s="16">
        <v>1</v>
      </c>
      <c r="J185" s="16">
        <f>7468971.4-3768814.26</f>
        <v>3700157.1400000006</v>
      </c>
      <c r="K185" s="16">
        <f t="shared" si="6"/>
        <v>3700157.1400000006</v>
      </c>
      <c r="L185" s="16"/>
      <c r="M185" s="16"/>
      <c r="N185" s="16"/>
      <c r="O185" s="44" t="s">
        <v>24</v>
      </c>
      <c r="P185" s="18"/>
      <c r="Q185" s="19"/>
    </row>
    <row r="186" spans="2:17" ht="51" x14ac:dyDescent="0.2">
      <c r="B186" s="14" t="s">
        <v>18</v>
      </c>
      <c r="C186" s="15" t="s">
        <v>444</v>
      </c>
      <c r="D186" s="15" t="s">
        <v>445</v>
      </c>
      <c r="E186" s="15" t="s">
        <v>499</v>
      </c>
      <c r="F186" s="15" t="s">
        <v>500</v>
      </c>
      <c r="G186" s="44" t="s">
        <v>22</v>
      </c>
      <c r="H186" s="45" t="s">
        <v>244</v>
      </c>
      <c r="I186" s="16">
        <v>1</v>
      </c>
      <c r="J186" s="16">
        <v>690000</v>
      </c>
      <c r="K186" s="16">
        <f t="shared" si="6"/>
        <v>690000</v>
      </c>
      <c r="L186" s="16"/>
      <c r="M186" s="16"/>
      <c r="N186" s="16"/>
      <c r="O186" s="44" t="s">
        <v>24</v>
      </c>
      <c r="P186" s="18"/>
      <c r="Q186" s="19"/>
    </row>
    <row r="187" spans="2:17" ht="63.75" x14ac:dyDescent="0.2">
      <c r="B187" s="14" t="s">
        <v>18</v>
      </c>
      <c r="C187" s="15" t="s">
        <v>444</v>
      </c>
      <c r="D187" s="15" t="s">
        <v>445</v>
      </c>
      <c r="E187" s="15" t="s">
        <v>501</v>
      </c>
      <c r="F187" s="15" t="s">
        <v>502</v>
      </c>
      <c r="G187" s="44" t="s">
        <v>22</v>
      </c>
      <c r="H187" s="45" t="s">
        <v>244</v>
      </c>
      <c r="I187" s="16">
        <v>1</v>
      </c>
      <c r="J187" s="16">
        <v>828000</v>
      </c>
      <c r="K187" s="16">
        <f t="shared" si="6"/>
        <v>828000</v>
      </c>
      <c r="L187" s="16"/>
      <c r="M187" s="16"/>
      <c r="N187" s="16"/>
      <c r="O187" s="44" t="s">
        <v>24</v>
      </c>
      <c r="P187" s="18"/>
      <c r="Q187" s="19"/>
    </row>
    <row r="188" spans="2:17" ht="82.5" customHeight="1" x14ac:dyDescent="0.2">
      <c r="B188" s="14" t="s">
        <v>18</v>
      </c>
      <c r="C188" s="15" t="s">
        <v>444</v>
      </c>
      <c r="D188" s="15" t="s">
        <v>445</v>
      </c>
      <c r="E188" s="15" t="s">
        <v>503</v>
      </c>
      <c r="F188" s="15" t="s">
        <v>504</v>
      </c>
      <c r="G188" s="44" t="s">
        <v>22</v>
      </c>
      <c r="H188" s="45" t="s">
        <v>244</v>
      </c>
      <c r="I188" s="16">
        <v>1</v>
      </c>
      <c r="J188" s="16">
        <v>258888</v>
      </c>
      <c r="K188" s="16">
        <f t="shared" si="6"/>
        <v>258888</v>
      </c>
      <c r="L188" s="16"/>
      <c r="M188" s="16"/>
      <c r="N188" s="16"/>
      <c r="O188" s="44" t="s">
        <v>24</v>
      </c>
      <c r="P188" s="18"/>
      <c r="Q188" s="19"/>
    </row>
    <row r="189" spans="2:17" ht="102" customHeight="1" x14ac:dyDescent="0.2">
      <c r="B189" s="14" t="s">
        <v>18</v>
      </c>
      <c r="C189" s="15" t="s">
        <v>444</v>
      </c>
      <c r="D189" s="15" t="s">
        <v>445</v>
      </c>
      <c r="E189" s="15" t="s">
        <v>505</v>
      </c>
      <c r="F189" s="15" t="s">
        <v>506</v>
      </c>
      <c r="G189" s="44" t="s">
        <v>22</v>
      </c>
      <c r="H189" s="45" t="s">
        <v>244</v>
      </c>
      <c r="I189" s="16">
        <v>1</v>
      </c>
      <c r="J189" s="16">
        <v>55155.6</v>
      </c>
      <c r="K189" s="16">
        <f t="shared" si="6"/>
        <v>55155.6</v>
      </c>
      <c r="L189" s="16"/>
      <c r="M189" s="16"/>
      <c r="N189" s="16"/>
      <c r="O189" s="44" t="s">
        <v>24</v>
      </c>
      <c r="P189" s="18"/>
      <c r="Q189" s="19"/>
    </row>
    <row r="190" spans="2:17" ht="38.25" x14ac:dyDescent="0.2">
      <c r="B190" s="14" t="s">
        <v>18</v>
      </c>
      <c r="C190" s="15" t="s">
        <v>444</v>
      </c>
      <c r="D190" s="15" t="s">
        <v>445</v>
      </c>
      <c r="E190" s="15" t="s">
        <v>507</v>
      </c>
      <c r="F190" s="15" t="s">
        <v>508</v>
      </c>
      <c r="G190" s="44" t="s">
        <v>22</v>
      </c>
      <c r="H190" s="45" t="s">
        <v>244</v>
      </c>
      <c r="I190" s="16">
        <v>1</v>
      </c>
      <c r="J190" s="16">
        <f>9553050+2016661.61</f>
        <v>11569711.609999999</v>
      </c>
      <c r="K190" s="16">
        <f t="shared" si="6"/>
        <v>11569711.609999999</v>
      </c>
      <c r="L190" s="16"/>
      <c r="M190" s="16"/>
      <c r="N190" s="16"/>
      <c r="O190" s="44" t="s">
        <v>301</v>
      </c>
      <c r="P190" s="18"/>
      <c r="Q190" s="19"/>
    </row>
    <row r="191" spans="2:17" ht="38.25" x14ac:dyDescent="0.2">
      <c r="B191" s="14" t="s">
        <v>18</v>
      </c>
      <c r="C191" s="15" t="s">
        <v>444</v>
      </c>
      <c r="D191" s="15" t="s">
        <v>445</v>
      </c>
      <c r="E191" s="15" t="s">
        <v>509</v>
      </c>
      <c r="F191" s="15" t="s">
        <v>510</v>
      </c>
      <c r="G191" s="44" t="s">
        <v>22</v>
      </c>
      <c r="H191" s="45" t="s">
        <v>244</v>
      </c>
      <c r="I191" s="16">
        <v>1</v>
      </c>
      <c r="J191" s="16">
        <v>139285.71</v>
      </c>
      <c r="K191" s="16">
        <f t="shared" si="6"/>
        <v>139285.71</v>
      </c>
      <c r="L191" s="16"/>
      <c r="M191" s="16"/>
      <c r="N191" s="16"/>
      <c r="O191" s="44" t="s">
        <v>301</v>
      </c>
      <c r="P191" s="18"/>
      <c r="Q191" s="19"/>
    </row>
    <row r="192" spans="2:17" ht="38.25" x14ac:dyDescent="0.2">
      <c r="B192" s="14" t="s">
        <v>18</v>
      </c>
      <c r="C192" s="15" t="s">
        <v>444</v>
      </c>
      <c r="D192" s="15" t="s">
        <v>445</v>
      </c>
      <c r="E192" s="15" t="s">
        <v>511</v>
      </c>
      <c r="F192" s="15" t="s">
        <v>512</v>
      </c>
      <c r="G192" s="44" t="s">
        <v>255</v>
      </c>
      <c r="H192" s="45" t="s">
        <v>244</v>
      </c>
      <c r="I192" s="16">
        <v>1</v>
      </c>
      <c r="J192" s="16">
        <v>191960759.84999999</v>
      </c>
      <c r="K192" s="16">
        <f t="shared" si="6"/>
        <v>191960759.84999999</v>
      </c>
      <c r="L192" s="16"/>
      <c r="M192" s="16"/>
      <c r="N192" s="16"/>
      <c r="O192" s="44" t="s">
        <v>53</v>
      </c>
      <c r="P192" s="27"/>
      <c r="Q192" s="19"/>
    </row>
    <row r="193" spans="2:17" ht="38.25" x14ac:dyDescent="0.2">
      <c r="B193" s="14" t="s">
        <v>18</v>
      </c>
      <c r="C193" s="15" t="s">
        <v>444</v>
      </c>
      <c r="D193" s="15" t="s">
        <v>445</v>
      </c>
      <c r="E193" s="15" t="s">
        <v>513</v>
      </c>
      <c r="F193" s="15" t="s">
        <v>514</v>
      </c>
      <c r="G193" s="44" t="s">
        <v>255</v>
      </c>
      <c r="H193" s="45" t="s">
        <v>244</v>
      </c>
      <c r="I193" s="16">
        <v>1</v>
      </c>
      <c r="J193" s="16">
        <f>205370039.06+115911522.55</f>
        <v>321281561.61000001</v>
      </c>
      <c r="K193" s="16">
        <f t="shared" si="6"/>
        <v>321281561.61000001</v>
      </c>
      <c r="L193" s="16"/>
      <c r="M193" s="16"/>
      <c r="N193" s="16"/>
      <c r="O193" s="44" t="s">
        <v>246</v>
      </c>
      <c r="P193" s="27"/>
      <c r="Q193" s="19"/>
    </row>
    <row r="194" spans="2:17" ht="38.25" x14ac:dyDescent="0.2">
      <c r="B194" s="14" t="s">
        <v>18</v>
      </c>
      <c r="C194" s="15" t="s">
        <v>444</v>
      </c>
      <c r="D194" s="15" t="s">
        <v>445</v>
      </c>
      <c r="E194" s="15" t="s">
        <v>515</v>
      </c>
      <c r="F194" s="15" t="s">
        <v>516</v>
      </c>
      <c r="G194" s="44" t="s">
        <v>255</v>
      </c>
      <c r="H194" s="45" t="s">
        <v>244</v>
      </c>
      <c r="I194" s="16">
        <v>1</v>
      </c>
      <c r="J194" s="16">
        <f>28908700-2708700</f>
        <v>26200000</v>
      </c>
      <c r="K194" s="16">
        <f t="shared" si="6"/>
        <v>26200000</v>
      </c>
      <c r="L194" s="16"/>
      <c r="M194" s="16"/>
      <c r="N194" s="16"/>
      <c r="O194" s="44" t="s">
        <v>53</v>
      </c>
      <c r="P194" s="27"/>
      <c r="Q194" s="19"/>
    </row>
    <row r="195" spans="2:17" ht="38.25" x14ac:dyDescent="0.2">
      <c r="B195" s="14" t="s">
        <v>18</v>
      </c>
      <c r="C195" s="15" t="s">
        <v>444</v>
      </c>
      <c r="D195" s="15" t="s">
        <v>445</v>
      </c>
      <c r="E195" s="15" t="s">
        <v>517</v>
      </c>
      <c r="F195" s="15" t="s">
        <v>518</v>
      </c>
      <c r="G195" s="44" t="s">
        <v>255</v>
      </c>
      <c r="H195" s="45" t="s">
        <v>244</v>
      </c>
      <c r="I195" s="16">
        <v>1</v>
      </c>
      <c r="J195" s="16">
        <v>18310669.640000001</v>
      </c>
      <c r="K195" s="16">
        <f t="shared" si="6"/>
        <v>18310669.640000001</v>
      </c>
      <c r="L195" s="16"/>
      <c r="M195" s="16"/>
      <c r="N195" s="16"/>
      <c r="O195" s="44" t="s">
        <v>246</v>
      </c>
      <c r="P195" s="27"/>
      <c r="Q195" s="19"/>
    </row>
    <row r="196" spans="2:17" ht="38.25" x14ac:dyDescent="0.2">
      <c r="B196" s="14" t="s">
        <v>18</v>
      </c>
      <c r="C196" s="15" t="s">
        <v>444</v>
      </c>
      <c r="D196" s="15" t="s">
        <v>445</v>
      </c>
      <c r="E196" s="15" t="s">
        <v>519</v>
      </c>
      <c r="F196" s="15" t="s">
        <v>520</v>
      </c>
      <c r="G196" s="44" t="s">
        <v>255</v>
      </c>
      <c r="H196" s="45" t="s">
        <v>244</v>
      </c>
      <c r="I196" s="16">
        <v>1</v>
      </c>
      <c r="J196" s="16">
        <f>787975057-69975057</f>
        <v>718000000</v>
      </c>
      <c r="K196" s="16">
        <f>I196*J196</f>
        <v>718000000</v>
      </c>
      <c r="L196" s="16"/>
      <c r="M196" s="16"/>
      <c r="N196" s="16"/>
      <c r="O196" s="44" t="s">
        <v>53</v>
      </c>
      <c r="P196" s="27"/>
      <c r="Q196" s="19"/>
    </row>
    <row r="197" spans="2:17" ht="38.25" x14ac:dyDescent="0.2">
      <c r="B197" s="14" t="s">
        <v>18</v>
      </c>
      <c r="C197" s="15" t="s">
        <v>444</v>
      </c>
      <c r="D197" s="15" t="s">
        <v>445</v>
      </c>
      <c r="E197" s="15" t="s">
        <v>521</v>
      </c>
      <c r="F197" s="15" t="s">
        <v>522</v>
      </c>
      <c r="G197" s="44" t="s">
        <v>22</v>
      </c>
      <c r="H197" s="45" t="s">
        <v>244</v>
      </c>
      <c r="I197" s="16">
        <v>1</v>
      </c>
      <c r="J197" s="16">
        <f>4178917+485083-653797.32</f>
        <v>4010202.68</v>
      </c>
      <c r="K197" s="16">
        <f t="shared" si="6"/>
        <v>4010202.68</v>
      </c>
      <c r="L197" s="16"/>
      <c r="M197" s="16"/>
      <c r="N197" s="16"/>
      <c r="O197" s="44" t="s">
        <v>306</v>
      </c>
      <c r="P197" s="18"/>
      <c r="Q197" s="19"/>
    </row>
    <row r="198" spans="2:17" ht="38.25" x14ac:dyDescent="0.2">
      <c r="B198" s="14" t="s">
        <v>18</v>
      </c>
      <c r="C198" s="15" t="s">
        <v>444</v>
      </c>
      <c r="D198" s="15" t="s">
        <v>445</v>
      </c>
      <c r="E198" s="15" t="s">
        <v>523</v>
      </c>
      <c r="F198" s="15" t="s">
        <v>524</v>
      </c>
      <c r="G198" s="44" t="s">
        <v>22</v>
      </c>
      <c r="H198" s="45" t="s">
        <v>244</v>
      </c>
      <c r="I198" s="16">
        <v>1</v>
      </c>
      <c r="J198" s="16">
        <f>1663750+717221.43-106294.64</f>
        <v>2274676.79</v>
      </c>
      <c r="K198" s="16">
        <f t="shared" si="6"/>
        <v>2274676.79</v>
      </c>
      <c r="L198" s="16"/>
      <c r="M198" s="16"/>
      <c r="N198" s="16"/>
      <c r="O198" s="44" t="s">
        <v>306</v>
      </c>
      <c r="P198" s="18"/>
      <c r="Q198" s="19"/>
    </row>
    <row r="199" spans="2:17" ht="38.25" x14ac:dyDescent="0.2">
      <c r="B199" s="14" t="s">
        <v>18</v>
      </c>
      <c r="C199" s="15" t="s">
        <v>444</v>
      </c>
      <c r="D199" s="15" t="s">
        <v>445</v>
      </c>
      <c r="E199" s="15" t="s">
        <v>525</v>
      </c>
      <c r="F199" s="15" t="s">
        <v>526</v>
      </c>
      <c r="G199" s="44" t="s">
        <v>73</v>
      </c>
      <c r="H199" s="45" t="s">
        <v>244</v>
      </c>
      <c r="I199" s="16">
        <v>1</v>
      </c>
      <c r="J199" s="16">
        <f>61735741-35224133.86-1311607.14</f>
        <v>25200000</v>
      </c>
      <c r="K199" s="16">
        <f>I199*J199</f>
        <v>25200000</v>
      </c>
      <c r="L199" s="16"/>
      <c r="M199" s="16"/>
      <c r="N199" s="16"/>
      <c r="O199" s="44" t="s">
        <v>53</v>
      </c>
      <c r="P199" s="18"/>
      <c r="Q199" s="19"/>
    </row>
    <row r="200" spans="2:17" ht="38.25" x14ac:dyDescent="0.2">
      <c r="B200" s="14" t="s">
        <v>18</v>
      </c>
      <c r="C200" s="15" t="s">
        <v>444</v>
      </c>
      <c r="D200" s="15" t="s">
        <v>445</v>
      </c>
      <c r="E200" s="15" t="s">
        <v>527</v>
      </c>
      <c r="F200" s="15" t="s">
        <v>528</v>
      </c>
      <c r="G200" s="44" t="s">
        <v>255</v>
      </c>
      <c r="H200" s="45" t="s">
        <v>244</v>
      </c>
      <c r="I200" s="16">
        <v>1</v>
      </c>
      <c r="J200" s="16">
        <f>23480625-260625</f>
        <v>23220000</v>
      </c>
      <c r="K200" s="16">
        <f t="shared" si="6"/>
        <v>23220000</v>
      </c>
      <c r="L200" s="16"/>
      <c r="M200" s="16"/>
      <c r="N200" s="16"/>
      <c r="O200" s="44" t="s">
        <v>53</v>
      </c>
      <c r="P200" s="18"/>
      <c r="Q200" s="19"/>
    </row>
    <row r="201" spans="2:17" ht="38.25" x14ac:dyDescent="0.2">
      <c r="B201" s="14" t="s">
        <v>18</v>
      </c>
      <c r="C201" s="15" t="s">
        <v>529</v>
      </c>
      <c r="D201" s="15" t="s">
        <v>530</v>
      </c>
      <c r="E201" s="15" t="s">
        <v>531</v>
      </c>
      <c r="F201" s="15" t="s">
        <v>532</v>
      </c>
      <c r="G201" s="44" t="s">
        <v>255</v>
      </c>
      <c r="H201" s="45" t="s">
        <v>244</v>
      </c>
      <c r="I201" s="16">
        <v>1</v>
      </c>
      <c r="J201" s="16">
        <v>37837028</v>
      </c>
      <c r="K201" s="16">
        <f t="shared" si="6"/>
        <v>37837028</v>
      </c>
      <c r="L201" s="16"/>
      <c r="M201" s="16"/>
      <c r="N201" s="16"/>
      <c r="O201" s="44" t="s">
        <v>53</v>
      </c>
      <c r="P201" s="18"/>
      <c r="Q201" s="19"/>
    </row>
    <row r="202" spans="2:17" ht="38.25" x14ac:dyDescent="0.2">
      <c r="B202" s="14" t="s">
        <v>18</v>
      </c>
      <c r="C202" s="15" t="s">
        <v>444</v>
      </c>
      <c r="D202" s="15" t="s">
        <v>445</v>
      </c>
      <c r="E202" s="15" t="s">
        <v>533</v>
      </c>
      <c r="F202" s="15" t="s">
        <v>534</v>
      </c>
      <c r="G202" s="44" t="s">
        <v>255</v>
      </c>
      <c r="H202" s="45" t="s">
        <v>244</v>
      </c>
      <c r="I202" s="16">
        <v>1</v>
      </c>
      <c r="J202" s="16">
        <v>33639900</v>
      </c>
      <c r="K202" s="16">
        <f t="shared" si="6"/>
        <v>33639900</v>
      </c>
      <c r="L202" s="16"/>
      <c r="M202" s="16"/>
      <c r="N202" s="16"/>
      <c r="O202" s="44" t="s">
        <v>53</v>
      </c>
      <c r="P202" s="18"/>
      <c r="Q202" s="19"/>
    </row>
    <row r="203" spans="2:17" ht="28.5" customHeight="1" x14ac:dyDescent="0.2">
      <c r="B203" s="14" t="s">
        <v>18</v>
      </c>
      <c r="C203" s="15" t="s">
        <v>535</v>
      </c>
      <c r="D203" s="15" t="s">
        <v>536</v>
      </c>
      <c r="E203" s="15" t="s">
        <v>537</v>
      </c>
      <c r="F203" s="15" t="s">
        <v>538</v>
      </c>
      <c r="G203" s="44" t="s">
        <v>255</v>
      </c>
      <c r="H203" s="45" t="s">
        <v>244</v>
      </c>
      <c r="I203" s="16">
        <v>1</v>
      </c>
      <c r="J203" s="16">
        <f>144730224-800000</f>
        <v>143930224</v>
      </c>
      <c r="K203" s="16">
        <f t="shared" si="6"/>
        <v>143930224</v>
      </c>
      <c r="L203" s="16"/>
      <c r="M203" s="16"/>
      <c r="N203" s="16"/>
      <c r="O203" s="44" t="s">
        <v>27</v>
      </c>
      <c r="P203" s="18"/>
      <c r="Q203" s="19"/>
    </row>
    <row r="204" spans="2:17" ht="30.75" customHeight="1" x14ac:dyDescent="0.2">
      <c r="B204" s="14" t="s">
        <v>18</v>
      </c>
      <c r="C204" s="15" t="s">
        <v>266</v>
      </c>
      <c r="D204" s="15" t="s">
        <v>267</v>
      </c>
      <c r="E204" s="15" t="s">
        <v>539</v>
      </c>
      <c r="F204" s="15" t="s">
        <v>540</v>
      </c>
      <c r="G204" s="44" t="s">
        <v>255</v>
      </c>
      <c r="H204" s="45" t="s">
        <v>244</v>
      </c>
      <c r="I204" s="16">
        <v>1</v>
      </c>
      <c r="J204" s="16">
        <f>59598000-2996663</f>
        <v>56601337</v>
      </c>
      <c r="K204" s="16">
        <f t="shared" si="6"/>
        <v>56601337</v>
      </c>
      <c r="L204" s="16"/>
      <c r="M204" s="16"/>
      <c r="N204" s="16"/>
      <c r="O204" s="44" t="s">
        <v>27</v>
      </c>
      <c r="P204" s="18"/>
      <c r="Q204" s="19"/>
    </row>
    <row r="205" spans="2:17" ht="35.25" customHeight="1" x14ac:dyDescent="0.2">
      <c r="B205" s="14" t="s">
        <v>18</v>
      </c>
      <c r="C205" s="15" t="s">
        <v>541</v>
      </c>
      <c r="D205" s="15" t="s">
        <v>542</v>
      </c>
      <c r="E205" s="15" t="s">
        <v>543</v>
      </c>
      <c r="F205" s="15" t="s">
        <v>544</v>
      </c>
      <c r="G205" s="44" t="s">
        <v>73</v>
      </c>
      <c r="H205" s="45" t="s">
        <v>244</v>
      </c>
      <c r="I205" s="16">
        <v>1</v>
      </c>
      <c r="J205" s="16">
        <v>934950</v>
      </c>
      <c r="K205" s="16">
        <f>I205*J205</f>
        <v>934950</v>
      </c>
      <c r="L205" s="16"/>
      <c r="M205" s="16"/>
      <c r="N205" s="16"/>
      <c r="O205" s="44" t="s">
        <v>306</v>
      </c>
      <c r="P205" s="18"/>
      <c r="Q205" s="19"/>
    </row>
    <row r="206" spans="2:17" ht="30" customHeight="1" x14ac:dyDescent="0.2">
      <c r="B206" s="14" t="s">
        <v>18</v>
      </c>
      <c r="C206" s="15" t="s">
        <v>541</v>
      </c>
      <c r="D206" s="15" t="s">
        <v>542</v>
      </c>
      <c r="E206" s="15" t="s">
        <v>545</v>
      </c>
      <c r="F206" s="15" t="s">
        <v>546</v>
      </c>
      <c r="G206" s="44" t="s">
        <v>73</v>
      </c>
      <c r="H206" s="45" t="s">
        <v>244</v>
      </c>
      <c r="I206" s="16">
        <v>1</v>
      </c>
      <c r="J206" s="16">
        <f>2287843.7-1194762.39</f>
        <v>1093081.3100000003</v>
      </c>
      <c r="K206" s="16">
        <f>I206*J206</f>
        <v>1093081.3100000003</v>
      </c>
      <c r="L206" s="16"/>
      <c r="M206" s="16"/>
      <c r="N206" s="16"/>
      <c r="O206" s="44" t="s">
        <v>338</v>
      </c>
      <c r="P206" s="18"/>
      <c r="Q206" s="19"/>
    </row>
    <row r="207" spans="2:17" ht="38.25" x14ac:dyDescent="0.2">
      <c r="B207" s="14" t="s">
        <v>18</v>
      </c>
      <c r="C207" s="15" t="s">
        <v>547</v>
      </c>
      <c r="D207" s="15" t="s">
        <v>548</v>
      </c>
      <c r="E207" s="15" t="s">
        <v>549</v>
      </c>
      <c r="F207" s="15" t="s">
        <v>550</v>
      </c>
      <c r="G207" s="44" t="s">
        <v>73</v>
      </c>
      <c r="H207" s="45" t="s">
        <v>244</v>
      </c>
      <c r="I207" s="16">
        <v>1</v>
      </c>
      <c r="J207" s="16">
        <v>6378750</v>
      </c>
      <c r="K207" s="16">
        <f t="shared" ref="K207:K214" si="7">I207*J207</f>
        <v>6378750</v>
      </c>
      <c r="L207" s="16"/>
      <c r="M207" s="16"/>
      <c r="N207" s="16"/>
      <c r="O207" s="44" t="s">
        <v>27</v>
      </c>
      <c r="P207" s="27"/>
      <c r="Q207" s="19"/>
    </row>
    <row r="208" spans="2:17" ht="38.25" x14ac:dyDescent="0.2">
      <c r="B208" s="14" t="s">
        <v>18</v>
      </c>
      <c r="C208" s="15" t="s">
        <v>547</v>
      </c>
      <c r="D208" s="15" t="s">
        <v>548</v>
      </c>
      <c r="E208" s="15" t="s">
        <v>549</v>
      </c>
      <c r="F208" s="15" t="s">
        <v>550</v>
      </c>
      <c r="G208" s="44" t="s">
        <v>73</v>
      </c>
      <c r="H208" s="45" t="s">
        <v>244</v>
      </c>
      <c r="I208" s="16">
        <v>1</v>
      </c>
      <c r="J208" s="16">
        <f>6371400+1948842.85714281</f>
        <v>8320242.8571428098</v>
      </c>
      <c r="K208" s="16">
        <f>I208*J208</f>
        <v>8320242.8571428098</v>
      </c>
      <c r="L208" s="16"/>
      <c r="M208" s="16"/>
      <c r="N208" s="16"/>
      <c r="O208" s="44" t="s">
        <v>27</v>
      </c>
      <c r="P208" s="27"/>
      <c r="Q208" s="19"/>
    </row>
    <row r="209" spans="2:17" ht="37.5" customHeight="1" x14ac:dyDescent="0.2">
      <c r="B209" s="14" t="s">
        <v>18</v>
      </c>
      <c r="C209" s="15" t="s">
        <v>547</v>
      </c>
      <c r="D209" s="15" t="s">
        <v>548</v>
      </c>
      <c r="E209" s="15" t="s">
        <v>551</v>
      </c>
      <c r="F209" s="15" t="s">
        <v>552</v>
      </c>
      <c r="G209" s="44" t="s">
        <v>73</v>
      </c>
      <c r="H209" s="45" t="s">
        <v>244</v>
      </c>
      <c r="I209" s="16">
        <v>1</v>
      </c>
      <c r="J209" s="16">
        <f>53825805-10765161-21530322</f>
        <v>21530322</v>
      </c>
      <c r="K209" s="16">
        <f>I209*J209</f>
        <v>21530322</v>
      </c>
      <c r="L209" s="16"/>
      <c r="M209" s="16"/>
      <c r="N209" s="16"/>
      <c r="O209" s="44" t="s">
        <v>53</v>
      </c>
      <c r="P209" s="27"/>
      <c r="Q209" s="19"/>
    </row>
    <row r="210" spans="2:17" ht="37.5" customHeight="1" x14ac:dyDescent="0.2">
      <c r="B210" s="14" t="s">
        <v>18</v>
      </c>
      <c r="C210" s="15" t="s">
        <v>547</v>
      </c>
      <c r="D210" s="15" t="s">
        <v>548</v>
      </c>
      <c r="E210" s="15" t="s">
        <v>553</v>
      </c>
      <c r="F210" s="15" t="s">
        <v>554</v>
      </c>
      <c r="G210" s="44" t="s">
        <v>73</v>
      </c>
      <c r="H210" s="45" t="s">
        <v>244</v>
      </c>
      <c r="I210" s="16">
        <v>1</v>
      </c>
      <c r="J210" s="16">
        <f>21530322+7398246</f>
        <v>28928568</v>
      </c>
      <c r="K210" s="16">
        <f>I210*J210</f>
        <v>28928568</v>
      </c>
      <c r="L210" s="16"/>
      <c r="M210" s="16"/>
      <c r="N210" s="16"/>
      <c r="O210" s="44" t="s">
        <v>53</v>
      </c>
      <c r="P210" s="27"/>
      <c r="Q210" s="19"/>
    </row>
    <row r="211" spans="2:17" ht="24.75" customHeight="1" x14ac:dyDescent="0.2">
      <c r="B211" s="14" t="s">
        <v>18</v>
      </c>
      <c r="C211" s="15" t="s">
        <v>555</v>
      </c>
      <c r="D211" s="15" t="s">
        <v>556</v>
      </c>
      <c r="E211" s="15" t="s">
        <v>557</v>
      </c>
      <c r="F211" s="15" t="s">
        <v>558</v>
      </c>
      <c r="G211" s="44" t="s">
        <v>245</v>
      </c>
      <c r="H211" s="45" t="s">
        <v>244</v>
      </c>
      <c r="I211" s="16">
        <v>1</v>
      </c>
      <c r="J211" s="16">
        <v>2770562.5449999999</v>
      </c>
      <c r="K211" s="16">
        <f>I211*J211</f>
        <v>2770562.5449999999</v>
      </c>
      <c r="L211" s="16"/>
      <c r="M211" s="16"/>
      <c r="N211" s="16"/>
      <c r="O211" s="44" t="s">
        <v>27</v>
      </c>
      <c r="P211" s="27"/>
      <c r="Q211" s="19"/>
    </row>
    <row r="212" spans="2:17" ht="22.5" customHeight="1" x14ac:dyDescent="0.2">
      <c r="B212" s="14" t="s">
        <v>18</v>
      </c>
      <c r="C212" s="15" t="s">
        <v>555</v>
      </c>
      <c r="D212" s="15" t="s">
        <v>556</v>
      </c>
      <c r="E212" s="15" t="s">
        <v>557</v>
      </c>
      <c r="F212" s="15" t="s">
        <v>558</v>
      </c>
      <c r="G212" s="44" t="s">
        <v>73</v>
      </c>
      <c r="H212" s="45" t="s">
        <v>244</v>
      </c>
      <c r="I212" s="16">
        <v>1</v>
      </c>
      <c r="J212" s="16">
        <f>22500000-3783169.64-2939053.36</f>
        <v>15777777</v>
      </c>
      <c r="K212" s="16">
        <f t="shared" si="7"/>
        <v>15777777</v>
      </c>
      <c r="L212" s="16"/>
      <c r="M212" s="16"/>
      <c r="N212" s="16"/>
      <c r="O212" s="44" t="s">
        <v>27</v>
      </c>
      <c r="P212" s="27"/>
      <c r="Q212" s="19"/>
    </row>
    <row r="213" spans="2:17" ht="25.5" x14ac:dyDescent="0.2">
      <c r="B213" s="14" t="s">
        <v>18</v>
      </c>
      <c r="C213" s="15" t="s">
        <v>232</v>
      </c>
      <c r="D213" s="15" t="s">
        <v>233</v>
      </c>
      <c r="E213" s="15" t="s">
        <v>559</v>
      </c>
      <c r="F213" s="15" t="s">
        <v>560</v>
      </c>
      <c r="G213" s="44" t="s">
        <v>22</v>
      </c>
      <c r="H213" s="45" t="s">
        <v>23</v>
      </c>
      <c r="I213" s="16">
        <v>42</v>
      </c>
      <c r="J213" s="16">
        <f>123900/I213</f>
        <v>2950</v>
      </c>
      <c r="K213" s="16">
        <f t="shared" si="7"/>
        <v>123900</v>
      </c>
      <c r="L213" s="16"/>
      <c r="M213" s="16"/>
      <c r="N213" s="16"/>
      <c r="O213" s="44" t="s">
        <v>24</v>
      </c>
      <c r="P213" s="27"/>
      <c r="Q213" s="19"/>
    </row>
    <row r="214" spans="2:17" ht="25.5" x14ac:dyDescent="0.2">
      <c r="B214" s="14" t="s">
        <v>18</v>
      </c>
      <c r="C214" s="15" t="s">
        <v>561</v>
      </c>
      <c r="D214" s="15" t="s">
        <v>562</v>
      </c>
      <c r="E214" s="15" t="s">
        <v>563</v>
      </c>
      <c r="F214" s="15" t="s">
        <v>564</v>
      </c>
      <c r="G214" s="44" t="s">
        <v>73</v>
      </c>
      <c r="H214" s="45" t="s">
        <v>244</v>
      </c>
      <c r="I214" s="16">
        <v>1</v>
      </c>
      <c r="J214" s="16">
        <f>1296750-108062.5</f>
        <v>1188687.5</v>
      </c>
      <c r="K214" s="16">
        <f t="shared" si="7"/>
        <v>1188687.5</v>
      </c>
      <c r="L214" s="16"/>
      <c r="M214" s="16"/>
      <c r="N214" s="16"/>
      <c r="O214" s="48" t="s">
        <v>27</v>
      </c>
      <c r="P214" s="18"/>
      <c r="Q214" s="19"/>
    </row>
    <row r="215" spans="2:17" ht="25.5" x14ac:dyDescent="0.2">
      <c r="B215" s="14" t="s">
        <v>18</v>
      </c>
      <c r="C215" s="15" t="s">
        <v>565</v>
      </c>
      <c r="D215" s="15" t="s">
        <v>566</v>
      </c>
      <c r="E215" s="15" t="s">
        <v>567</v>
      </c>
      <c r="F215" s="15" t="s">
        <v>568</v>
      </c>
      <c r="G215" s="44" t="s">
        <v>73</v>
      </c>
      <c r="H215" s="45" t="s">
        <v>569</v>
      </c>
      <c r="I215" s="16">
        <v>2000</v>
      </c>
      <c r="J215" s="16">
        <f>758.93-173.93</f>
        <v>585</v>
      </c>
      <c r="K215" s="16">
        <f>I215*J215</f>
        <v>1170000</v>
      </c>
      <c r="L215" s="16"/>
      <c r="M215" s="16"/>
      <c r="N215" s="16"/>
      <c r="O215" s="48" t="s">
        <v>27</v>
      </c>
      <c r="P215" s="18"/>
      <c r="Q215" s="19"/>
    </row>
    <row r="216" spans="2:17" ht="25.5" x14ac:dyDescent="0.2">
      <c r="B216" s="14" t="s">
        <v>18</v>
      </c>
      <c r="C216" s="15" t="s">
        <v>570</v>
      </c>
      <c r="D216" s="15" t="s">
        <v>571</v>
      </c>
      <c r="E216" s="15" t="s">
        <v>572</v>
      </c>
      <c r="F216" s="15" t="s">
        <v>573</v>
      </c>
      <c r="G216" s="44" t="s">
        <v>396</v>
      </c>
      <c r="H216" s="45" t="s">
        <v>244</v>
      </c>
      <c r="I216" s="16">
        <v>1</v>
      </c>
      <c r="J216" s="16">
        <v>466785.7</v>
      </c>
      <c r="K216" s="16">
        <f t="shared" ref="K216:K239" si="8">I216*J216</f>
        <v>466785.7</v>
      </c>
      <c r="L216" s="16"/>
      <c r="M216" s="16"/>
      <c r="N216" s="16"/>
      <c r="O216" s="44" t="s">
        <v>246</v>
      </c>
      <c r="P216" s="27"/>
      <c r="Q216" s="19"/>
    </row>
    <row r="217" spans="2:17" ht="25.5" x14ac:dyDescent="0.2">
      <c r="B217" s="14" t="s">
        <v>18</v>
      </c>
      <c r="C217" s="15" t="s">
        <v>574</v>
      </c>
      <c r="D217" s="15" t="s">
        <v>575</v>
      </c>
      <c r="E217" s="15" t="s">
        <v>576</v>
      </c>
      <c r="F217" s="15" t="s">
        <v>577</v>
      </c>
      <c r="G217" s="44" t="s">
        <v>73</v>
      </c>
      <c r="H217" s="45" t="s">
        <v>244</v>
      </c>
      <c r="I217" s="16">
        <v>1</v>
      </c>
      <c r="J217" s="16">
        <v>3700000</v>
      </c>
      <c r="K217" s="16">
        <f t="shared" si="8"/>
        <v>3700000</v>
      </c>
      <c r="L217" s="16"/>
      <c r="M217" s="16"/>
      <c r="N217" s="16"/>
      <c r="O217" s="44" t="s">
        <v>27</v>
      </c>
      <c r="P217" s="18"/>
      <c r="Q217" s="19"/>
    </row>
    <row r="218" spans="2:17" ht="25.5" x14ac:dyDescent="0.2">
      <c r="B218" s="14" t="s">
        <v>18</v>
      </c>
      <c r="C218" s="15" t="s">
        <v>574</v>
      </c>
      <c r="D218" s="15" t="s">
        <v>575</v>
      </c>
      <c r="E218" s="15" t="s">
        <v>576</v>
      </c>
      <c r="F218" s="15" t="s">
        <v>578</v>
      </c>
      <c r="G218" s="44" t="s">
        <v>73</v>
      </c>
      <c r="H218" s="45" t="s">
        <v>244</v>
      </c>
      <c r="I218" s="16">
        <v>1</v>
      </c>
      <c r="J218" s="16">
        <v>400000</v>
      </c>
      <c r="K218" s="16">
        <f>I218*J218</f>
        <v>400000</v>
      </c>
      <c r="L218" s="16"/>
      <c r="M218" s="16"/>
      <c r="N218" s="16"/>
      <c r="O218" s="44" t="s">
        <v>24</v>
      </c>
      <c r="P218" s="18"/>
      <c r="Q218" s="19"/>
    </row>
    <row r="219" spans="2:17" ht="25.5" x14ac:dyDescent="0.2">
      <c r="B219" s="14" t="s">
        <v>18</v>
      </c>
      <c r="C219" s="15" t="s">
        <v>579</v>
      </c>
      <c r="D219" s="15" t="s">
        <v>580</v>
      </c>
      <c r="E219" s="15" t="s">
        <v>581</v>
      </c>
      <c r="F219" s="15" t="s">
        <v>582</v>
      </c>
      <c r="G219" s="44" t="s">
        <v>73</v>
      </c>
      <c r="H219" s="45" t="s">
        <v>244</v>
      </c>
      <c r="I219" s="16">
        <v>1</v>
      </c>
      <c r="J219" s="16">
        <f>2409820-808927.142857143</f>
        <v>1600892.857142857</v>
      </c>
      <c r="K219" s="16">
        <f t="shared" si="8"/>
        <v>1600892.857142857</v>
      </c>
      <c r="L219" s="16"/>
      <c r="M219" s="16"/>
      <c r="N219" s="16"/>
      <c r="O219" s="44" t="s">
        <v>53</v>
      </c>
      <c r="P219" s="32"/>
      <c r="Q219" s="19"/>
    </row>
    <row r="220" spans="2:17" ht="30.75" customHeight="1" x14ac:dyDescent="0.2">
      <c r="B220" s="14" t="s">
        <v>18</v>
      </c>
      <c r="C220" s="15" t="s">
        <v>579</v>
      </c>
      <c r="D220" s="15" t="s">
        <v>580</v>
      </c>
      <c r="E220" s="15" t="s">
        <v>583</v>
      </c>
      <c r="F220" s="15" t="s">
        <v>584</v>
      </c>
      <c r="G220" s="44" t="s">
        <v>73</v>
      </c>
      <c r="H220" s="45" t="s">
        <v>244</v>
      </c>
      <c r="I220" s="16">
        <v>1</v>
      </c>
      <c r="J220" s="16">
        <v>191964.29</v>
      </c>
      <c r="K220" s="16">
        <f>I220*J220</f>
        <v>191964.29</v>
      </c>
      <c r="L220" s="16"/>
      <c r="M220" s="32"/>
      <c r="N220" s="16"/>
      <c r="O220" s="44" t="s">
        <v>246</v>
      </c>
      <c r="P220" s="32"/>
      <c r="Q220" s="19"/>
    </row>
    <row r="221" spans="2:17" ht="30.75" customHeight="1" x14ac:dyDescent="0.2">
      <c r="B221" s="14" t="s">
        <v>18</v>
      </c>
      <c r="C221" s="15" t="s">
        <v>579</v>
      </c>
      <c r="D221" s="15" t="s">
        <v>580</v>
      </c>
      <c r="E221" s="15" t="s">
        <v>585</v>
      </c>
      <c r="F221" s="15" t="s">
        <v>586</v>
      </c>
      <c r="G221" s="44" t="s">
        <v>73</v>
      </c>
      <c r="H221" s="45" t="s">
        <v>244</v>
      </c>
      <c r="I221" s="16">
        <v>1</v>
      </c>
      <c r="J221" s="16">
        <v>320000</v>
      </c>
      <c r="K221" s="16">
        <f>I221*J221</f>
        <v>320000</v>
      </c>
      <c r="L221" s="16"/>
      <c r="M221" s="32"/>
      <c r="N221" s="16"/>
      <c r="O221" s="44" t="s">
        <v>246</v>
      </c>
      <c r="P221" s="32"/>
      <c r="Q221" s="19"/>
    </row>
    <row r="222" spans="2:17" ht="64.5" customHeight="1" x14ac:dyDescent="0.2">
      <c r="B222" s="14" t="s">
        <v>18</v>
      </c>
      <c r="C222" s="15" t="s">
        <v>587</v>
      </c>
      <c r="D222" s="15" t="s">
        <v>588</v>
      </c>
      <c r="E222" s="15" t="s">
        <v>589</v>
      </c>
      <c r="F222" s="15" t="s">
        <v>590</v>
      </c>
      <c r="G222" s="44" t="s">
        <v>73</v>
      </c>
      <c r="H222" s="45" t="s">
        <v>244</v>
      </c>
      <c r="I222" s="16">
        <v>1</v>
      </c>
      <c r="J222" s="16">
        <v>4942800</v>
      </c>
      <c r="K222" s="16">
        <f t="shared" ref="K222" si="9">I222*J222</f>
        <v>4942800</v>
      </c>
      <c r="L222" s="16"/>
      <c r="M222" s="16"/>
      <c r="N222" s="16"/>
      <c r="O222" s="44" t="s">
        <v>24</v>
      </c>
      <c r="P222" s="32"/>
      <c r="Q222" s="19"/>
    </row>
    <row r="223" spans="2:17" ht="43.5" customHeight="1" x14ac:dyDescent="0.2">
      <c r="B223" s="14" t="s">
        <v>18</v>
      </c>
      <c r="C223" s="15" t="s">
        <v>579</v>
      </c>
      <c r="D223" s="15" t="s">
        <v>580</v>
      </c>
      <c r="E223" s="15" t="s">
        <v>591</v>
      </c>
      <c r="F223" s="15" t="s">
        <v>592</v>
      </c>
      <c r="G223" s="44" t="s">
        <v>73</v>
      </c>
      <c r="H223" s="45" t="s">
        <v>244</v>
      </c>
      <c r="I223" s="16">
        <v>1</v>
      </c>
      <c r="J223" s="16">
        <v>400000</v>
      </c>
      <c r="K223" s="16">
        <f t="shared" si="8"/>
        <v>400000</v>
      </c>
      <c r="L223" s="16"/>
      <c r="M223" s="16"/>
      <c r="N223" s="16"/>
      <c r="O223" s="44" t="s">
        <v>24</v>
      </c>
      <c r="P223" s="32"/>
      <c r="Q223" s="19"/>
    </row>
    <row r="224" spans="2:17" ht="51" customHeight="1" x14ac:dyDescent="0.2">
      <c r="B224" s="14" t="s">
        <v>18</v>
      </c>
      <c r="C224" s="15" t="s">
        <v>579</v>
      </c>
      <c r="D224" s="15" t="s">
        <v>580</v>
      </c>
      <c r="E224" s="15" t="s">
        <v>593</v>
      </c>
      <c r="F224" s="15" t="s">
        <v>594</v>
      </c>
      <c r="G224" s="44" t="s">
        <v>73</v>
      </c>
      <c r="H224" s="45" t="s">
        <v>244</v>
      </c>
      <c r="I224" s="16">
        <v>1</v>
      </c>
      <c r="J224" s="16">
        <v>2700000</v>
      </c>
      <c r="K224" s="16">
        <f t="shared" si="8"/>
        <v>2700000</v>
      </c>
      <c r="L224" s="16"/>
      <c r="M224" s="16"/>
      <c r="N224" s="16"/>
      <c r="O224" s="44" t="s">
        <v>24</v>
      </c>
      <c r="P224" s="32"/>
      <c r="Q224" s="19"/>
    </row>
    <row r="225" spans="2:17" ht="41.25" customHeight="1" x14ac:dyDescent="0.2">
      <c r="B225" s="14" t="s">
        <v>18</v>
      </c>
      <c r="C225" s="15" t="s">
        <v>595</v>
      </c>
      <c r="D225" s="15" t="s">
        <v>596</v>
      </c>
      <c r="E225" s="15" t="s">
        <v>597</v>
      </c>
      <c r="F225" s="15" t="s">
        <v>598</v>
      </c>
      <c r="G225" s="44" t="s">
        <v>73</v>
      </c>
      <c r="H225" s="45" t="s">
        <v>284</v>
      </c>
      <c r="I225" s="16">
        <v>1</v>
      </c>
      <c r="J225" s="16">
        <f>1245666-46866</f>
        <v>1198800</v>
      </c>
      <c r="K225" s="16">
        <f t="shared" si="8"/>
        <v>1198800</v>
      </c>
      <c r="L225" s="16"/>
      <c r="M225" s="16"/>
      <c r="N225" s="16"/>
      <c r="O225" s="44" t="s">
        <v>24</v>
      </c>
      <c r="P225" s="32"/>
      <c r="Q225" s="19"/>
    </row>
    <row r="226" spans="2:17" ht="25.5" x14ac:dyDescent="0.2">
      <c r="B226" s="14" t="s">
        <v>18</v>
      </c>
      <c r="C226" s="15" t="s">
        <v>599</v>
      </c>
      <c r="D226" s="15" t="s">
        <v>600</v>
      </c>
      <c r="E226" s="15" t="s">
        <v>601</v>
      </c>
      <c r="F226" s="15" t="s">
        <v>602</v>
      </c>
      <c r="G226" s="44" t="s">
        <v>396</v>
      </c>
      <c r="H226" s="45" t="s">
        <v>244</v>
      </c>
      <c r="I226" s="16">
        <v>1</v>
      </c>
      <c r="J226" s="16">
        <f>2550000-1245666-154017.75</f>
        <v>1150316.25</v>
      </c>
      <c r="K226" s="16">
        <f t="shared" si="8"/>
        <v>1150316.25</v>
      </c>
      <c r="L226" s="16"/>
      <c r="M226" s="16"/>
      <c r="N226" s="16"/>
      <c r="O226" s="44" t="s">
        <v>24</v>
      </c>
      <c r="P226" s="18"/>
      <c r="Q226" s="19"/>
    </row>
    <row r="227" spans="2:17" ht="38.25" x14ac:dyDescent="0.2">
      <c r="B227" s="14" t="s">
        <v>18</v>
      </c>
      <c r="C227" s="15" t="s">
        <v>603</v>
      </c>
      <c r="D227" s="25" t="s">
        <v>604</v>
      </c>
      <c r="E227" s="15" t="s">
        <v>605</v>
      </c>
      <c r="F227" s="15" t="s">
        <v>606</v>
      </c>
      <c r="G227" s="44" t="s">
        <v>73</v>
      </c>
      <c r="H227" s="45" t="s">
        <v>244</v>
      </c>
      <c r="I227" s="16">
        <v>1</v>
      </c>
      <c r="J227" s="16">
        <v>42000</v>
      </c>
      <c r="K227" s="16">
        <f t="shared" si="8"/>
        <v>42000</v>
      </c>
      <c r="L227" s="16"/>
      <c r="M227" s="16"/>
      <c r="N227" s="16"/>
      <c r="O227" s="44" t="s">
        <v>246</v>
      </c>
      <c r="P227" s="18"/>
      <c r="Q227" s="19"/>
    </row>
    <row r="228" spans="2:17" ht="38.25" x14ac:dyDescent="0.2">
      <c r="B228" s="14" t="s">
        <v>18</v>
      </c>
      <c r="C228" s="15" t="s">
        <v>607</v>
      </c>
      <c r="D228" s="15" t="s">
        <v>608</v>
      </c>
      <c r="E228" s="15" t="s">
        <v>609</v>
      </c>
      <c r="F228" s="15" t="s">
        <v>610</v>
      </c>
      <c r="G228" s="44" t="s">
        <v>73</v>
      </c>
      <c r="H228" s="45" t="s">
        <v>244</v>
      </c>
      <c r="I228" s="16">
        <v>1</v>
      </c>
      <c r="J228" s="16">
        <v>276000</v>
      </c>
      <c r="K228" s="16">
        <f t="shared" si="8"/>
        <v>276000</v>
      </c>
      <c r="L228" s="16"/>
      <c r="M228" s="16"/>
      <c r="N228" s="16"/>
      <c r="O228" s="44" t="s">
        <v>246</v>
      </c>
      <c r="P228" s="18"/>
      <c r="Q228" s="19"/>
    </row>
    <row r="229" spans="2:17" ht="38.25" x14ac:dyDescent="0.2">
      <c r="B229" s="14" t="s">
        <v>18</v>
      </c>
      <c r="C229" s="15" t="s">
        <v>607</v>
      </c>
      <c r="D229" s="15" t="s">
        <v>608</v>
      </c>
      <c r="E229" s="15" t="s">
        <v>611</v>
      </c>
      <c r="F229" s="15" t="s">
        <v>612</v>
      </c>
      <c r="G229" s="44" t="s">
        <v>73</v>
      </c>
      <c r="H229" s="45" t="s">
        <v>244</v>
      </c>
      <c r="I229" s="16">
        <v>1</v>
      </c>
      <c r="J229" s="16">
        <v>3783169.64</v>
      </c>
      <c r="K229" s="16">
        <f t="shared" si="8"/>
        <v>3783169.64</v>
      </c>
      <c r="L229" s="16"/>
      <c r="M229" s="16"/>
      <c r="N229" s="16"/>
      <c r="O229" s="44" t="s">
        <v>24</v>
      </c>
      <c r="P229" s="18"/>
      <c r="Q229" s="19"/>
    </row>
    <row r="230" spans="2:17" ht="25.5" x14ac:dyDescent="0.2">
      <c r="B230" s="14" t="s">
        <v>18</v>
      </c>
      <c r="C230" s="15" t="s">
        <v>613</v>
      </c>
      <c r="D230" s="15" t="s">
        <v>614</v>
      </c>
      <c r="E230" s="15" t="s">
        <v>615</v>
      </c>
      <c r="F230" s="15" t="s">
        <v>616</v>
      </c>
      <c r="G230" s="44" t="s">
        <v>73</v>
      </c>
      <c r="H230" s="45" t="s">
        <v>244</v>
      </c>
      <c r="I230" s="16">
        <v>1</v>
      </c>
      <c r="J230" s="16">
        <v>152616.9</v>
      </c>
      <c r="K230" s="16">
        <f t="shared" si="8"/>
        <v>152616.9</v>
      </c>
      <c r="L230" s="16"/>
      <c r="M230" s="16"/>
      <c r="N230" s="16"/>
      <c r="O230" s="44" t="s">
        <v>246</v>
      </c>
      <c r="P230" s="18"/>
      <c r="Q230" s="19"/>
    </row>
    <row r="231" spans="2:17" ht="25.5" x14ac:dyDescent="0.2">
      <c r="B231" s="14" t="s">
        <v>18</v>
      </c>
      <c r="C231" s="15" t="s">
        <v>617</v>
      </c>
      <c r="D231" s="15" t="s">
        <v>618</v>
      </c>
      <c r="E231" s="15" t="s">
        <v>619</v>
      </c>
      <c r="F231" s="15" t="s">
        <v>620</v>
      </c>
      <c r="G231" s="44" t="s">
        <v>73</v>
      </c>
      <c r="H231" s="45" t="s">
        <v>244</v>
      </c>
      <c r="I231" s="16">
        <v>1</v>
      </c>
      <c r="J231" s="16">
        <v>464285.7</v>
      </c>
      <c r="K231" s="16">
        <f t="shared" si="8"/>
        <v>464285.7</v>
      </c>
      <c r="L231" s="16"/>
      <c r="M231" s="16"/>
      <c r="N231" s="16"/>
      <c r="O231" s="48" t="s">
        <v>246</v>
      </c>
      <c r="P231" s="18"/>
      <c r="Q231" s="19"/>
    </row>
    <row r="232" spans="2:17" ht="25.5" x14ac:dyDescent="0.2">
      <c r="B232" s="14" t="s">
        <v>18</v>
      </c>
      <c r="C232" s="15" t="s">
        <v>617</v>
      </c>
      <c r="D232" s="15" t="s">
        <v>618</v>
      </c>
      <c r="E232" s="15" t="s">
        <v>621</v>
      </c>
      <c r="F232" s="33" t="s">
        <v>622</v>
      </c>
      <c r="G232" s="44" t="s">
        <v>73</v>
      </c>
      <c r="H232" s="45" t="s">
        <v>244</v>
      </c>
      <c r="I232" s="16">
        <v>1</v>
      </c>
      <c r="J232" s="16">
        <v>105000</v>
      </c>
      <c r="K232" s="16">
        <f t="shared" si="8"/>
        <v>105000</v>
      </c>
      <c r="L232" s="16"/>
      <c r="M232" s="16"/>
      <c r="N232" s="16"/>
      <c r="O232" s="48" t="s">
        <v>53</v>
      </c>
      <c r="P232" s="18"/>
      <c r="Q232" s="19"/>
    </row>
    <row r="233" spans="2:17" ht="25.5" x14ac:dyDescent="0.2">
      <c r="B233" s="14" t="s">
        <v>18</v>
      </c>
      <c r="C233" s="15" t="s">
        <v>623</v>
      </c>
      <c r="D233" s="15" t="s">
        <v>624</v>
      </c>
      <c r="E233" s="15" t="s">
        <v>625</v>
      </c>
      <c r="F233" s="33" t="s">
        <v>626</v>
      </c>
      <c r="G233" s="44" t="s">
        <v>73</v>
      </c>
      <c r="H233" s="45" t="s">
        <v>244</v>
      </c>
      <c r="I233" s="16">
        <v>1</v>
      </c>
      <c r="J233" s="16">
        <v>1500000</v>
      </c>
      <c r="K233" s="16">
        <f t="shared" si="8"/>
        <v>1500000</v>
      </c>
      <c r="L233" s="16"/>
      <c r="M233" s="16"/>
      <c r="N233" s="16"/>
      <c r="O233" s="44" t="s">
        <v>27</v>
      </c>
      <c r="P233" s="18"/>
      <c r="Q233" s="19"/>
    </row>
    <row r="234" spans="2:17" ht="25.5" x14ac:dyDescent="0.2">
      <c r="B234" s="14" t="s">
        <v>18</v>
      </c>
      <c r="C234" s="15" t="s">
        <v>623</v>
      </c>
      <c r="D234" s="15" t="s">
        <v>624</v>
      </c>
      <c r="E234" s="15" t="s">
        <v>627</v>
      </c>
      <c r="F234" s="33" t="s">
        <v>628</v>
      </c>
      <c r="G234" s="44" t="s">
        <v>73</v>
      </c>
      <c r="H234" s="45" t="s">
        <v>244</v>
      </c>
      <c r="I234" s="16">
        <v>1</v>
      </c>
      <c r="J234" s="16">
        <v>1000000</v>
      </c>
      <c r="K234" s="16">
        <f t="shared" si="8"/>
        <v>1000000</v>
      </c>
      <c r="L234" s="16"/>
      <c r="M234" s="16"/>
      <c r="N234" s="16"/>
      <c r="O234" s="44" t="s">
        <v>53</v>
      </c>
      <c r="P234" s="18"/>
      <c r="Q234" s="19"/>
    </row>
    <row r="235" spans="2:17" ht="25.5" x14ac:dyDescent="0.2">
      <c r="B235" s="14" t="s">
        <v>18</v>
      </c>
      <c r="C235" s="15" t="s">
        <v>623</v>
      </c>
      <c r="D235" s="15" t="s">
        <v>624</v>
      </c>
      <c r="E235" s="15" t="s">
        <v>629</v>
      </c>
      <c r="F235" s="33" t="s">
        <v>630</v>
      </c>
      <c r="G235" s="44" t="s">
        <v>73</v>
      </c>
      <c r="H235" s="45" t="s">
        <v>244</v>
      </c>
      <c r="I235" s="16">
        <v>1</v>
      </c>
      <c r="J235" s="16">
        <v>5000000</v>
      </c>
      <c r="K235" s="16">
        <f t="shared" si="8"/>
        <v>5000000</v>
      </c>
      <c r="L235" s="16"/>
      <c r="M235" s="16"/>
      <c r="N235" s="16"/>
      <c r="O235" s="44" t="s">
        <v>53</v>
      </c>
      <c r="P235" s="18"/>
      <c r="Q235" s="19"/>
    </row>
    <row r="236" spans="2:17" ht="25.5" x14ac:dyDescent="0.2">
      <c r="B236" s="14" t="s">
        <v>18</v>
      </c>
      <c r="C236" s="15" t="s">
        <v>631</v>
      </c>
      <c r="D236" s="15" t="s">
        <v>632</v>
      </c>
      <c r="E236" s="15" t="s">
        <v>633</v>
      </c>
      <c r="F236" s="15" t="s">
        <v>634</v>
      </c>
      <c r="G236" s="44" t="s">
        <v>22</v>
      </c>
      <c r="H236" s="45" t="s">
        <v>23</v>
      </c>
      <c r="I236" s="16">
        <f>6</f>
        <v>6</v>
      </c>
      <c r="J236" s="16">
        <v>35450</v>
      </c>
      <c r="K236" s="16">
        <f t="shared" si="8"/>
        <v>212700</v>
      </c>
      <c r="L236" s="16"/>
      <c r="M236" s="16"/>
      <c r="N236" s="16"/>
      <c r="O236" s="44" t="s">
        <v>306</v>
      </c>
      <c r="P236" s="18"/>
      <c r="Q236" s="19"/>
    </row>
    <row r="237" spans="2:17" ht="25.5" x14ac:dyDescent="0.2">
      <c r="B237" s="14" t="s">
        <v>18</v>
      </c>
      <c r="C237" s="15" t="s">
        <v>635</v>
      </c>
      <c r="D237" s="15" t="s">
        <v>636</v>
      </c>
      <c r="E237" s="15" t="s">
        <v>637</v>
      </c>
      <c r="F237" s="15" t="s">
        <v>638</v>
      </c>
      <c r="G237" s="44" t="s">
        <v>73</v>
      </c>
      <c r="H237" s="45" t="s">
        <v>23</v>
      </c>
      <c r="I237" s="16">
        <v>1</v>
      </c>
      <c r="J237" s="16">
        <v>5357.14</v>
      </c>
      <c r="K237" s="16">
        <f t="shared" si="8"/>
        <v>5357.14</v>
      </c>
      <c r="L237" s="16"/>
      <c r="M237" s="16"/>
      <c r="N237" s="16"/>
      <c r="O237" s="44" t="s">
        <v>306</v>
      </c>
      <c r="P237" s="18"/>
      <c r="Q237" s="19"/>
    </row>
    <row r="238" spans="2:17" ht="25.5" x14ac:dyDescent="0.2">
      <c r="B238" s="14" t="s">
        <v>18</v>
      </c>
      <c r="C238" s="15" t="s">
        <v>639</v>
      </c>
      <c r="D238" s="15" t="s">
        <v>640</v>
      </c>
      <c r="E238" s="15" t="s">
        <v>641</v>
      </c>
      <c r="F238" s="15" t="s">
        <v>642</v>
      </c>
      <c r="G238" s="44" t="s">
        <v>22</v>
      </c>
      <c r="H238" s="45" t="s">
        <v>23</v>
      </c>
      <c r="I238" s="16">
        <v>2</v>
      </c>
      <c r="J238" s="16">
        <v>37500</v>
      </c>
      <c r="K238" s="16">
        <f t="shared" si="8"/>
        <v>75000</v>
      </c>
      <c r="L238" s="16"/>
      <c r="M238" s="16"/>
      <c r="N238" s="16"/>
      <c r="O238" s="44" t="s">
        <v>306</v>
      </c>
      <c r="P238" s="18"/>
      <c r="Q238" s="19"/>
    </row>
    <row r="239" spans="2:17" ht="29.25" customHeight="1" x14ac:dyDescent="0.2">
      <c r="B239" s="14" t="s">
        <v>18</v>
      </c>
      <c r="C239" s="15" t="s">
        <v>643</v>
      </c>
      <c r="D239" s="15" t="s">
        <v>644</v>
      </c>
      <c r="E239" s="15" t="s">
        <v>645</v>
      </c>
      <c r="F239" s="15" t="s">
        <v>646</v>
      </c>
      <c r="G239" s="44" t="s">
        <v>73</v>
      </c>
      <c r="H239" s="45" t="s">
        <v>23</v>
      </c>
      <c r="I239" s="16">
        <v>15</v>
      </c>
      <c r="J239" s="16">
        <v>10267.85</v>
      </c>
      <c r="K239" s="16">
        <f t="shared" si="8"/>
        <v>154017.75</v>
      </c>
      <c r="L239" s="16"/>
      <c r="M239" s="16"/>
      <c r="N239" s="16"/>
      <c r="O239" s="44" t="s">
        <v>306</v>
      </c>
      <c r="P239" s="18"/>
      <c r="Q239" s="19"/>
    </row>
    <row r="240" spans="2:17" ht="25.5" x14ac:dyDescent="0.2">
      <c r="B240" s="14" t="s">
        <v>18</v>
      </c>
      <c r="C240" s="15" t="s">
        <v>647</v>
      </c>
      <c r="D240" s="15" t="s">
        <v>648</v>
      </c>
      <c r="E240" s="15" t="s">
        <v>649</v>
      </c>
      <c r="F240" s="15" t="s">
        <v>650</v>
      </c>
      <c r="G240" s="44" t="s">
        <v>73</v>
      </c>
      <c r="H240" s="45" t="s">
        <v>23</v>
      </c>
      <c r="I240" s="16">
        <v>4</v>
      </c>
      <c r="J240" s="16">
        <v>2000000</v>
      </c>
      <c r="K240" s="16">
        <f>I240*J240</f>
        <v>8000000</v>
      </c>
      <c r="L240" s="16"/>
      <c r="M240" s="16"/>
      <c r="N240" s="16"/>
      <c r="O240" s="44" t="s">
        <v>306</v>
      </c>
      <c r="P240" s="18"/>
      <c r="Q240" s="19"/>
    </row>
    <row r="241" spans="2:17" ht="25.5" x14ac:dyDescent="0.2">
      <c r="B241" s="14" t="s">
        <v>18</v>
      </c>
      <c r="C241" s="15" t="s">
        <v>651</v>
      </c>
      <c r="D241" s="15" t="s">
        <v>652</v>
      </c>
      <c r="E241" s="15" t="s">
        <v>653</v>
      </c>
      <c r="F241" s="15" t="s">
        <v>654</v>
      </c>
      <c r="G241" s="44" t="s">
        <v>22</v>
      </c>
      <c r="H241" s="45" t="s">
        <v>23</v>
      </c>
      <c r="I241" s="16">
        <v>1</v>
      </c>
      <c r="J241" s="16">
        <v>423600</v>
      </c>
      <c r="K241" s="16">
        <f>I241*J241</f>
        <v>423600</v>
      </c>
      <c r="L241" s="16"/>
      <c r="M241" s="16"/>
      <c r="N241" s="16"/>
      <c r="O241" s="44" t="s">
        <v>24</v>
      </c>
      <c r="P241" s="18"/>
      <c r="Q241" s="19"/>
    </row>
    <row r="242" spans="2:17" ht="25.5" x14ac:dyDescent="0.2">
      <c r="B242" s="14" t="s">
        <v>18</v>
      </c>
      <c r="C242" s="15" t="s">
        <v>655</v>
      </c>
      <c r="D242" s="15" t="s">
        <v>655</v>
      </c>
      <c r="E242" s="15" t="s">
        <v>656</v>
      </c>
      <c r="F242" s="15" t="s">
        <v>657</v>
      </c>
      <c r="G242" s="44" t="s">
        <v>22</v>
      </c>
      <c r="H242" s="45" t="s">
        <v>23</v>
      </c>
      <c r="I242" s="16">
        <v>6</v>
      </c>
      <c r="J242" s="16">
        <v>167895.54</v>
      </c>
      <c r="K242" s="16">
        <f t="shared" ref="K242:K268" si="10">I242*J242</f>
        <v>1007373.24</v>
      </c>
      <c r="L242" s="16"/>
      <c r="M242" s="16"/>
      <c r="N242" s="16"/>
      <c r="O242" s="44" t="s">
        <v>24</v>
      </c>
      <c r="P242" s="18"/>
      <c r="Q242" s="19"/>
    </row>
    <row r="243" spans="2:17" ht="25.5" x14ac:dyDescent="0.2">
      <c r="B243" s="14" t="s">
        <v>18</v>
      </c>
      <c r="C243" s="15" t="s">
        <v>655</v>
      </c>
      <c r="D243" s="15" t="s">
        <v>655</v>
      </c>
      <c r="E243" s="15" t="s">
        <v>658</v>
      </c>
      <c r="F243" s="15" t="s">
        <v>659</v>
      </c>
      <c r="G243" s="44" t="s">
        <v>22</v>
      </c>
      <c r="H243" s="45" t="s">
        <v>23</v>
      </c>
      <c r="I243" s="16">
        <v>17</v>
      </c>
      <c r="J243" s="16">
        <f>75892.86-5242.86</f>
        <v>70650</v>
      </c>
      <c r="K243" s="16">
        <f t="shared" si="10"/>
        <v>1201050</v>
      </c>
      <c r="L243" s="16"/>
      <c r="M243" s="16"/>
      <c r="N243" s="16"/>
      <c r="O243" s="44" t="s">
        <v>53</v>
      </c>
      <c r="P243" s="18"/>
      <c r="Q243" s="19"/>
    </row>
    <row r="244" spans="2:17" ht="25.5" x14ac:dyDescent="0.2">
      <c r="B244" s="14" t="s">
        <v>18</v>
      </c>
      <c r="C244" s="15" t="s">
        <v>660</v>
      </c>
      <c r="D244" s="15" t="s">
        <v>660</v>
      </c>
      <c r="E244" s="15" t="s">
        <v>661</v>
      </c>
      <c r="F244" s="15" t="s">
        <v>662</v>
      </c>
      <c r="G244" s="44" t="s">
        <v>22</v>
      </c>
      <c r="H244" s="45" t="s">
        <v>23</v>
      </c>
      <c r="I244" s="16">
        <v>2</v>
      </c>
      <c r="J244" s="16">
        <f>587500-43312.5</f>
        <v>544187.5</v>
      </c>
      <c r="K244" s="16">
        <f>I244*J244</f>
        <v>1088375</v>
      </c>
      <c r="L244" s="16"/>
      <c r="M244" s="16"/>
      <c r="N244" s="16"/>
      <c r="O244" s="44" t="s">
        <v>53</v>
      </c>
      <c r="P244" s="18"/>
      <c r="Q244" s="19"/>
    </row>
    <row r="245" spans="2:17" ht="25.5" x14ac:dyDescent="0.2">
      <c r="B245" s="14" t="s">
        <v>18</v>
      </c>
      <c r="C245" s="15" t="s">
        <v>660</v>
      </c>
      <c r="D245" s="15" t="s">
        <v>660</v>
      </c>
      <c r="E245" s="15" t="s">
        <v>663</v>
      </c>
      <c r="F245" s="15" t="s">
        <v>664</v>
      </c>
      <c r="G245" s="44" t="s">
        <v>22</v>
      </c>
      <c r="H245" s="45" t="s">
        <v>23</v>
      </c>
      <c r="I245" s="16">
        <v>15</v>
      </c>
      <c r="J245" s="16">
        <f>401785.71-21785.71</f>
        <v>380000</v>
      </c>
      <c r="K245" s="16">
        <f>I245*J245</f>
        <v>5700000</v>
      </c>
      <c r="L245" s="16"/>
      <c r="M245" s="16"/>
      <c r="N245" s="16"/>
      <c r="O245" s="44" t="s">
        <v>53</v>
      </c>
      <c r="P245" s="18"/>
      <c r="Q245" s="19"/>
    </row>
    <row r="246" spans="2:17" ht="25.5" x14ac:dyDescent="0.2">
      <c r="B246" s="14" t="s">
        <v>18</v>
      </c>
      <c r="C246" s="15" t="s">
        <v>660</v>
      </c>
      <c r="D246" s="15" t="s">
        <v>660</v>
      </c>
      <c r="E246" s="15" t="s">
        <v>665</v>
      </c>
      <c r="F246" s="15" t="s">
        <v>666</v>
      </c>
      <c r="G246" s="44" t="s">
        <v>22</v>
      </c>
      <c r="H246" s="45" t="s">
        <v>23</v>
      </c>
      <c r="I246" s="16">
        <v>19</v>
      </c>
      <c r="J246" s="16">
        <v>535714.28</v>
      </c>
      <c r="K246" s="16">
        <f>I246*J246</f>
        <v>10178571.32</v>
      </c>
      <c r="L246" s="16"/>
      <c r="M246" s="16"/>
      <c r="N246" s="16"/>
      <c r="O246" s="44" t="s">
        <v>246</v>
      </c>
      <c r="P246" s="18"/>
      <c r="Q246" s="19"/>
    </row>
    <row r="247" spans="2:17" ht="25.5" x14ac:dyDescent="0.2">
      <c r="B247" s="14" t="s">
        <v>18</v>
      </c>
      <c r="C247" s="15" t="s">
        <v>667</v>
      </c>
      <c r="D247" s="15" t="s">
        <v>667</v>
      </c>
      <c r="E247" s="15" t="s">
        <v>668</v>
      </c>
      <c r="F247" s="15" t="s">
        <v>669</v>
      </c>
      <c r="G247" s="44" t="s">
        <v>22</v>
      </c>
      <c r="H247" s="45" t="s">
        <v>23</v>
      </c>
      <c r="I247" s="16">
        <v>33</v>
      </c>
      <c r="J247" s="16">
        <f>308256.25-42256.25</f>
        <v>266000</v>
      </c>
      <c r="K247" s="16">
        <f t="shared" si="10"/>
        <v>8778000</v>
      </c>
      <c r="L247" s="16"/>
      <c r="M247" s="16"/>
      <c r="N247" s="16"/>
      <c r="O247" s="44" t="s">
        <v>53</v>
      </c>
      <c r="P247" s="18"/>
      <c r="Q247" s="19"/>
    </row>
    <row r="248" spans="2:17" ht="25.5" x14ac:dyDescent="0.2">
      <c r="B248" s="14" t="s">
        <v>18</v>
      </c>
      <c r="C248" s="15" t="s">
        <v>667</v>
      </c>
      <c r="D248" s="15" t="s">
        <v>667</v>
      </c>
      <c r="E248" s="15" t="s">
        <v>670</v>
      </c>
      <c r="F248" s="15" t="s">
        <v>671</v>
      </c>
      <c r="G248" s="44" t="s">
        <v>396</v>
      </c>
      <c r="H248" s="45" t="s">
        <v>23</v>
      </c>
      <c r="I248" s="16">
        <v>1</v>
      </c>
      <c r="J248" s="16">
        <v>1428787.5</v>
      </c>
      <c r="K248" s="16">
        <f t="shared" si="10"/>
        <v>1428787.5</v>
      </c>
      <c r="L248" s="16"/>
      <c r="M248" s="16"/>
      <c r="N248" s="16"/>
      <c r="O248" s="44" t="s">
        <v>53</v>
      </c>
      <c r="P248" s="18"/>
      <c r="Q248" s="19"/>
    </row>
    <row r="249" spans="2:17" ht="25.5" x14ac:dyDescent="0.2">
      <c r="B249" s="14" t="s">
        <v>18</v>
      </c>
      <c r="C249" s="15" t="s">
        <v>667</v>
      </c>
      <c r="D249" s="15" t="s">
        <v>667</v>
      </c>
      <c r="E249" s="15" t="s">
        <v>672</v>
      </c>
      <c r="F249" s="15" t="s">
        <v>672</v>
      </c>
      <c r="G249" s="44" t="s">
        <v>396</v>
      </c>
      <c r="H249" s="45" t="s">
        <v>23</v>
      </c>
      <c r="I249" s="16">
        <v>14</v>
      </c>
      <c r="J249" s="16">
        <v>125000</v>
      </c>
      <c r="K249" s="16">
        <f>I249*J249</f>
        <v>1750000</v>
      </c>
      <c r="L249" s="16"/>
      <c r="M249" s="16"/>
      <c r="N249" s="16"/>
      <c r="O249" s="44" t="s">
        <v>53</v>
      </c>
      <c r="P249" s="18"/>
      <c r="Q249" s="19"/>
    </row>
    <row r="250" spans="2:17" ht="25.5" x14ac:dyDescent="0.2">
      <c r="B250" s="14" t="s">
        <v>18</v>
      </c>
      <c r="C250" s="15" t="s">
        <v>655</v>
      </c>
      <c r="D250" s="15" t="s">
        <v>655</v>
      </c>
      <c r="E250" s="15" t="s">
        <v>673</v>
      </c>
      <c r="F250" s="15" t="s">
        <v>674</v>
      </c>
      <c r="G250" s="44" t="s">
        <v>396</v>
      </c>
      <c r="H250" s="45" t="s">
        <v>23</v>
      </c>
      <c r="I250" s="16">
        <v>2</v>
      </c>
      <c r="J250" s="16">
        <v>230357.15</v>
      </c>
      <c r="K250" s="16">
        <f t="shared" si="10"/>
        <v>460714.3</v>
      </c>
      <c r="L250" s="16"/>
      <c r="M250" s="16"/>
      <c r="N250" s="16"/>
      <c r="O250" s="44" t="s">
        <v>24</v>
      </c>
      <c r="P250" s="18"/>
      <c r="Q250" s="19"/>
    </row>
    <row r="251" spans="2:17" ht="25.5" x14ac:dyDescent="0.2">
      <c r="B251" s="14" t="s">
        <v>18</v>
      </c>
      <c r="C251" s="15" t="s">
        <v>675</v>
      </c>
      <c r="D251" s="15" t="s">
        <v>676</v>
      </c>
      <c r="E251" s="15" t="s">
        <v>677</v>
      </c>
      <c r="F251" s="15" t="s">
        <v>678</v>
      </c>
      <c r="G251" s="44" t="s">
        <v>396</v>
      </c>
      <c r="H251" s="45" t="s">
        <v>23</v>
      </c>
      <c r="I251" s="16">
        <v>5</v>
      </c>
      <c r="J251" s="16">
        <v>166392</v>
      </c>
      <c r="K251" s="16">
        <f t="shared" si="10"/>
        <v>831960</v>
      </c>
      <c r="L251" s="16"/>
      <c r="M251" s="16"/>
      <c r="N251" s="16"/>
      <c r="O251" s="44" t="s">
        <v>24</v>
      </c>
      <c r="P251" s="18"/>
      <c r="Q251" s="19"/>
    </row>
    <row r="252" spans="2:17" ht="21" customHeight="1" x14ac:dyDescent="0.2">
      <c r="B252" s="14" t="s">
        <v>18</v>
      </c>
      <c r="C252" s="15" t="s">
        <v>679</v>
      </c>
      <c r="D252" s="15" t="s">
        <v>680</v>
      </c>
      <c r="E252" s="15" t="s">
        <v>681</v>
      </c>
      <c r="F252" s="15" t="s">
        <v>682</v>
      </c>
      <c r="G252" s="44" t="s">
        <v>255</v>
      </c>
      <c r="H252" s="45" t="s">
        <v>23</v>
      </c>
      <c r="I252" s="16">
        <v>42</v>
      </c>
      <c r="J252" s="16">
        <v>1200929.8999999999</v>
      </c>
      <c r="K252" s="16">
        <f t="shared" si="10"/>
        <v>50439055.799999997</v>
      </c>
      <c r="L252" s="16"/>
      <c r="M252" s="16"/>
      <c r="N252" s="16"/>
      <c r="O252" s="44" t="s">
        <v>24</v>
      </c>
      <c r="P252" s="18"/>
      <c r="Q252" s="19"/>
    </row>
    <row r="253" spans="2:17" ht="21" customHeight="1" x14ac:dyDescent="0.2">
      <c r="B253" s="14" t="s">
        <v>18</v>
      </c>
      <c r="C253" s="15" t="s">
        <v>683</v>
      </c>
      <c r="D253" s="15" t="s">
        <v>683</v>
      </c>
      <c r="E253" s="15" t="s">
        <v>684</v>
      </c>
      <c r="F253" s="15" t="s">
        <v>685</v>
      </c>
      <c r="G253" s="44" t="s">
        <v>255</v>
      </c>
      <c r="H253" s="45" t="s">
        <v>23</v>
      </c>
      <c r="I253" s="16">
        <v>2</v>
      </c>
      <c r="J253" s="16">
        <f>44916125-10708958.04</f>
        <v>34207166.960000001</v>
      </c>
      <c r="K253" s="16">
        <f t="shared" si="10"/>
        <v>68414333.920000002</v>
      </c>
      <c r="L253" s="16"/>
      <c r="M253" s="16"/>
      <c r="N253" s="16"/>
      <c r="O253" s="44" t="s">
        <v>24</v>
      </c>
      <c r="P253" s="18"/>
      <c r="Q253" s="19"/>
    </row>
    <row r="254" spans="2:17" ht="21.75" customHeight="1" x14ac:dyDescent="0.2">
      <c r="B254" s="14" t="s">
        <v>18</v>
      </c>
      <c r="C254" s="15" t="s">
        <v>683</v>
      </c>
      <c r="D254" s="15" t="s">
        <v>683</v>
      </c>
      <c r="E254" s="15" t="s">
        <v>686</v>
      </c>
      <c r="F254" s="15" t="s">
        <v>687</v>
      </c>
      <c r="G254" s="44" t="s">
        <v>255</v>
      </c>
      <c r="H254" s="45" t="s">
        <v>23</v>
      </c>
      <c r="I254" s="16">
        <v>6</v>
      </c>
      <c r="J254" s="16">
        <v>35823375</v>
      </c>
      <c r="K254" s="16">
        <f t="shared" si="10"/>
        <v>214940250</v>
      </c>
      <c r="L254" s="16"/>
      <c r="M254" s="16"/>
      <c r="N254" s="16"/>
      <c r="O254" s="44" t="s">
        <v>24</v>
      </c>
      <c r="P254" s="18"/>
      <c r="Q254" s="19"/>
    </row>
    <row r="255" spans="2:17" ht="21.75" customHeight="1" x14ac:dyDescent="0.2">
      <c r="B255" s="14" t="s">
        <v>18</v>
      </c>
      <c r="C255" s="15" t="s">
        <v>683</v>
      </c>
      <c r="D255" s="15" t="s">
        <v>683</v>
      </c>
      <c r="E255" s="15" t="s">
        <v>688</v>
      </c>
      <c r="F255" s="15" t="s">
        <v>689</v>
      </c>
      <c r="G255" s="44" t="s">
        <v>255</v>
      </c>
      <c r="H255" s="45" t="s">
        <v>23</v>
      </c>
      <c r="I255" s="16">
        <v>1</v>
      </c>
      <c r="J255" s="16">
        <v>38292187.499999993</v>
      </c>
      <c r="K255" s="16">
        <f t="shared" si="10"/>
        <v>38292187.499999993</v>
      </c>
      <c r="L255" s="16"/>
      <c r="M255" s="16"/>
      <c r="N255" s="16"/>
      <c r="O255" s="44" t="s">
        <v>24</v>
      </c>
      <c r="P255" s="18"/>
      <c r="Q255" s="19"/>
    </row>
    <row r="256" spans="2:17" ht="23.25" customHeight="1" x14ac:dyDescent="0.2">
      <c r="B256" s="14" t="s">
        <v>18</v>
      </c>
      <c r="C256" s="15" t="s">
        <v>683</v>
      </c>
      <c r="D256" s="15" t="s">
        <v>683</v>
      </c>
      <c r="E256" s="15" t="s">
        <v>690</v>
      </c>
      <c r="F256" s="15" t="s">
        <v>691</v>
      </c>
      <c r="G256" s="44" t="s">
        <v>255</v>
      </c>
      <c r="H256" s="45" t="s">
        <v>23</v>
      </c>
      <c r="I256" s="16">
        <v>4</v>
      </c>
      <c r="J256" s="16">
        <v>46428571.420000002</v>
      </c>
      <c r="K256" s="16">
        <f t="shared" si="10"/>
        <v>185714285.68000001</v>
      </c>
      <c r="L256" s="18"/>
      <c r="M256" s="18"/>
      <c r="N256" s="16"/>
      <c r="O256" s="44" t="s">
        <v>24</v>
      </c>
      <c r="P256" s="18"/>
      <c r="Q256" s="19"/>
    </row>
    <row r="257" spans="2:17" ht="21.75" customHeight="1" x14ac:dyDescent="0.2">
      <c r="B257" s="14" t="s">
        <v>18</v>
      </c>
      <c r="C257" s="15" t="s">
        <v>683</v>
      </c>
      <c r="D257" s="15" t="s">
        <v>683</v>
      </c>
      <c r="E257" s="15" t="s">
        <v>692</v>
      </c>
      <c r="F257" s="15" t="s">
        <v>693</v>
      </c>
      <c r="G257" s="44" t="s">
        <v>255</v>
      </c>
      <c r="H257" s="45" t="s">
        <v>23</v>
      </c>
      <c r="I257" s="16">
        <v>1</v>
      </c>
      <c r="J257" s="16">
        <v>71428571.430000007</v>
      </c>
      <c r="K257" s="16">
        <f t="shared" si="10"/>
        <v>71428571.430000007</v>
      </c>
      <c r="L257" s="18"/>
      <c r="M257" s="18"/>
      <c r="N257" s="16"/>
      <c r="O257" s="44" t="s">
        <v>24</v>
      </c>
      <c r="P257" s="18"/>
      <c r="Q257" s="19"/>
    </row>
    <row r="258" spans="2:17" ht="25.5" x14ac:dyDescent="0.2">
      <c r="B258" s="14" t="s">
        <v>18</v>
      </c>
      <c r="C258" s="15" t="s">
        <v>694</v>
      </c>
      <c r="D258" s="15" t="s">
        <v>695</v>
      </c>
      <c r="E258" s="15" t="s">
        <v>696</v>
      </c>
      <c r="F258" s="15" t="s">
        <v>697</v>
      </c>
      <c r="G258" s="44" t="s">
        <v>255</v>
      </c>
      <c r="H258" s="45" t="s">
        <v>23</v>
      </c>
      <c r="I258" s="16">
        <v>10</v>
      </c>
      <c r="J258" s="16">
        <f>4517051.04-97051.04</f>
        <v>4420000</v>
      </c>
      <c r="K258" s="16">
        <f t="shared" si="10"/>
        <v>44200000</v>
      </c>
      <c r="L258" s="16"/>
      <c r="M258" s="16"/>
      <c r="N258" s="16"/>
      <c r="O258" s="44" t="s">
        <v>27</v>
      </c>
      <c r="P258" s="18"/>
      <c r="Q258" s="19"/>
    </row>
    <row r="259" spans="2:17" ht="23.25" customHeight="1" x14ac:dyDescent="0.2">
      <c r="B259" s="14" t="s">
        <v>18</v>
      </c>
      <c r="C259" s="15" t="s">
        <v>698</v>
      </c>
      <c r="D259" s="15" t="s">
        <v>699</v>
      </c>
      <c r="E259" s="15" t="s">
        <v>700</v>
      </c>
      <c r="F259" s="15" t="s">
        <v>701</v>
      </c>
      <c r="G259" s="44" t="s">
        <v>255</v>
      </c>
      <c r="H259" s="45" t="s">
        <v>23</v>
      </c>
      <c r="I259" s="16">
        <v>6</v>
      </c>
      <c r="J259" s="16">
        <v>2009000</v>
      </c>
      <c r="K259" s="16">
        <f>I259*J259</f>
        <v>12054000</v>
      </c>
      <c r="L259" s="16"/>
      <c r="M259" s="16"/>
      <c r="N259" s="16"/>
      <c r="O259" s="44" t="s">
        <v>53</v>
      </c>
      <c r="P259" s="18"/>
      <c r="Q259" s="19"/>
    </row>
    <row r="260" spans="2:17" ht="21.75" customHeight="1" x14ac:dyDescent="0.2">
      <c r="B260" s="14" t="s">
        <v>18</v>
      </c>
      <c r="C260" s="15" t="s">
        <v>702</v>
      </c>
      <c r="D260" s="15" t="s">
        <v>702</v>
      </c>
      <c r="E260" s="15" t="s">
        <v>703</v>
      </c>
      <c r="F260" s="15" t="s">
        <v>704</v>
      </c>
      <c r="G260" s="44" t="s">
        <v>255</v>
      </c>
      <c r="H260" s="45" t="s">
        <v>23</v>
      </c>
      <c r="I260" s="16">
        <v>6</v>
      </c>
      <c r="J260" s="16">
        <v>1446008.95</v>
      </c>
      <c r="K260" s="16">
        <f>I260*J260</f>
        <v>8676053.6999999993</v>
      </c>
      <c r="L260" s="16"/>
      <c r="M260" s="16"/>
      <c r="N260" s="16"/>
      <c r="O260" s="44" t="s">
        <v>24</v>
      </c>
      <c r="P260" s="18"/>
      <c r="Q260" s="19"/>
    </row>
    <row r="261" spans="2:17" ht="19.5" customHeight="1" x14ac:dyDescent="0.2">
      <c r="B261" s="14" t="s">
        <v>18</v>
      </c>
      <c r="C261" s="15" t="s">
        <v>705</v>
      </c>
      <c r="D261" s="15" t="s">
        <v>706</v>
      </c>
      <c r="E261" s="15" t="s">
        <v>707</v>
      </c>
      <c r="F261" s="15" t="s">
        <v>708</v>
      </c>
      <c r="G261" s="44" t="s">
        <v>255</v>
      </c>
      <c r="H261" s="45" t="s">
        <v>23</v>
      </c>
      <c r="I261" s="16">
        <v>24</v>
      </c>
      <c r="J261" s="35">
        <v>727266.0625</v>
      </c>
      <c r="K261" s="16">
        <f>I261*J261</f>
        <v>17454385.5</v>
      </c>
      <c r="L261" s="16"/>
      <c r="M261" s="16"/>
      <c r="N261" s="16"/>
      <c r="O261" s="44" t="s">
        <v>27</v>
      </c>
      <c r="P261" s="18"/>
      <c r="Q261" s="19"/>
    </row>
    <row r="262" spans="2:17" ht="28.5" customHeight="1" x14ac:dyDescent="0.2">
      <c r="B262" s="14" t="s">
        <v>18</v>
      </c>
      <c r="C262" s="15" t="s">
        <v>709</v>
      </c>
      <c r="D262" s="15" t="s">
        <v>710</v>
      </c>
      <c r="E262" s="15" t="s">
        <v>711</v>
      </c>
      <c r="F262" s="15" t="s">
        <v>712</v>
      </c>
      <c r="G262" s="44" t="s">
        <v>255</v>
      </c>
      <c r="H262" s="45" t="s">
        <v>466</v>
      </c>
      <c r="I262" s="16">
        <v>1</v>
      </c>
      <c r="J262" s="16">
        <f>123256680.4-1306680.4</f>
        <v>121950000</v>
      </c>
      <c r="K262" s="16">
        <f>I262*J262</f>
        <v>121950000</v>
      </c>
      <c r="L262" s="16"/>
      <c r="M262" s="16"/>
      <c r="N262" s="16"/>
      <c r="O262" s="44" t="s">
        <v>53</v>
      </c>
      <c r="P262" s="18"/>
      <c r="Q262" s="19"/>
    </row>
    <row r="263" spans="2:17" ht="30" customHeight="1" x14ac:dyDescent="0.2">
      <c r="B263" s="14" t="s">
        <v>18</v>
      </c>
      <c r="C263" s="15" t="s">
        <v>713</v>
      </c>
      <c r="D263" s="15" t="s">
        <v>714</v>
      </c>
      <c r="E263" s="15" t="s">
        <v>715</v>
      </c>
      <c r="F263" s="15" t="s">
        <v>716</v>
      </c>
      <c r="G263" s="44" t="s">
        <v>255</v>
      </c>
      <c r="H263" s="45" t="s">
        <v>23</v>
      </c>
      <c r="I263" s="16">
        <v>6</v>
      </c>
      <c r="J263" s="16">
        <f>26748511.9-166666.9</f>
        <v>26581845</v>
      </c>
      <c r="K263" s="16">
        <f t="shared" si="10"/>
        <v>159491070</v>
      </c>
      <c r="L263" s="16"/>
      <c r="M263" s="16"/>
      <c r="N263" s="16"/>
      <c r="O263" s="44" t="s">
        <v>27</v>
      </c>
      <c r="P263" s="18"/>
      <c r="Q263" s="19"/>
    </row>
    <row r="264" spans="2:17" ht="17.25" customHeight="1" x14ac:dyDescent="0.2">
      <c r="B264" s="14" t="s">
        <v>18</v>
      </c>
      <c r="C264" s="15" t="s">
        <v>713</v>
      </c>
      <c r="D264" s="15" t="s">
        <v>714</v>
      </c>
      <c r="E264" s="15" t="s">
        <v>717</v>
      </c>
      <c r="F264" s="15" t="s">
        <v>718</v>
      </c>
      <c r="G264" s="44" t="s">
        <v>255</v>
      </c>
      <c r="H264" s="45" t="s">
        <v>23</v>
      </c>
      <c r="I264" s="16">
        <v>4</v>
      </c>
      <c r="J264" s="16">
        <f>176750000/1.12/I264-250000</f>
        <v>39203124.999999993</v>
      </c>
      <c r="K264" s="16">
        <f>I264*J264</f>
        <v>156812499.99999997</v>
      </c>
      <c r="L264" s="16"/>
      <c r="M264" s="16"/>
      <c r="N264" s="16"/>
      <c r="O264" s="44" t="s">
        <v>27</v>
      </c>
      <c r="P264" s="18"/>
      <c r="Q264" s="19"/>
    </row>
    <row r="265" spans="2:17" ht="30" customHeight="1" x14ac:dyDescent="0.2">
      <c r="B265" s="14" t="s">
        <v>18</v>
      </c>
      <c r="C265" s="15" t="s">
        <v>719</v>
      </c>
      <c r="D265" s="15" t="s">
        <v>719</v>
      </c>
      <c r="E265" s="15" t="s">
        <v>720</v>
      </c>
      <c r="F265" s="15" t="s">
        <v>721</v>
      </c>
      <c r="G265" s="44" t="s">
        <v>255</v>
      </c>
      <c r="H265" s="45" t="s">
        <v>23</v>
      </c>
      <c r="I265" s="16">
        <v>120</v>
      </c>
      <c r="J265" s="16">
        <f>122848.21+18642.86</f>
        <v>141491.07</v>
      </c>
      <c r="K265" s="16">
        <f t="shared" si="10"/>
        <v>16978928.400000002</v>
      </c>
      <c r="L265" s="16"/>
      <c r="M265" s="16"/>
      <c r="N265" s="16"/>
      <c r="O265" s="44" t="s">
        <v>246</v>
      </c>
      <c r="P265" s="18"/>
      <c r="Q265" s="19"/>
    </row>
    <row r="266" spans="2:17" ht="25.5" x14ac:dyDescent="0.2">
      <c r="B266" s="14" t="s">
        <v>18</v>
      </c>
      <c r="C266" s="15" t="s">
        <v>722</v>
      </c>
      <c r="D266" s="15" t="s">
        <v>723</v>
      </c>
      <c r="E266" s="15" t="s">
        <v>724</v>
      </c>
      <c r="F266" s="15" t="s">
        <v>725</v>
      </c>
      <c r="G266" s="44" t="s">
        <v>396</v>
      </c>
      <c r="H266" s="45" t="s">
        <v>244</v>
      </c>
      <c r="I266" s="16">
        <v>1</v>
      </c>
      <c r="J266" s="16">
        <v>3000000</v>
      </c>
      <c r="K266" s="16">
        <f t="shared" si="10"/>
        <v>3000000</v>
      </c>
      <c r="L266" s="16"/>
      <c r="M266" s="16"/>
      <c r="N266" s="16"/>
      <c r="O266" s="44" t="s">
        <v>53</v>
      </c>
      <c r="P266" s="27"/>
      <c r="Q266" s="19"/>
    </row>
    <row r="267" spans="2:17" ht="30.75" customHeight="1" x14ac:dyDescent="0.2">
      <c r="B267" s="14" t="s">
        <v>18</v>
      </c>
      <c r="C267" s="15" t="s">
        <v>722</v>
      </c>
      <c r="D267" s="15" t="s">
        <v>723</v>
      </c>
      <c r="E267" s="15" t="s">
        <v>726</v>
      </c>
      <c r="F267" s="15" t="s">
        <v>727</v>
      </c>
      <c r="G267" s="44" t="s">
        <v>396</v>
      </c>
      <c r="H267" s="45" t="s">
        <v>244</v>
      </c>
      <c r="I267" s="16">
        <v>1</v>
      </c>
      <c r="J267" s="16">
        <v>3815624.9999999995</v>
      </c>
      <c r="K267" s="16">
        <f t="shared" si="10"/>
        <v>3815624.9999999995</v>
      </c>
      <c r="L267" s="16"/>
      <c r="M267" s="16"/>
      <c r="N267" s="16"/>
      <c r="O267" s="44" t="s">
        <v>24</v>
      </c>
      <c r="P267" s="18"/>
      <c r="Q267" s="19"/>
    </row>
    <row r="268" spans="2:17" ht="25.5" x14ac:dyDescent="0.2">
      <c r="B268" s="14" t="s">
        <v>18</v>
      </c>
      <c r="C268" s="15" t="s">
        <v>722</v>
      </c>
      <c r="D268" s="15" t="s">
        <v>723</v>
      </c>
      <c r="E268" s="15" t="s">
        <v>728</v>
      </c>
      <c r="F268" s="15" t="s">
        <v>729</v>
      </c>
      <c r="G268" s="44" t="s">
        <v>73</v>
      </c>
      <c r="H268" s="45" t="s">
        <v>244</v>
      </c>
      <c r="I268" s="16">
        <v>1</v>
      </c>
      <c r="J268" s="16">
        <v>173010600</v>
      </c>
      <c r="K268" s="16">
        <f t="shared" si="10"/>
        <v>173010600</v>
      </c>
      <c r="L268" s="16"/>
      <c r="M268" s="16"/>
      <c r="N268" s="16"/>
      <c r="O268" s="44" t="s">
        <v>53</v>
      </c>
      <c r="P268" s="18"/>
      <c r="Q268" s="19"/>
    </row>
    <row r="269" spans="2:17" ht="51" x14ac:dyDescent="0.2">
      <c r="B269" s="14" t="s">
        <v>18</v>
      </c>
      <c r="C269" s="15" t="s">
        <v>722</v>
      </c>
      <c r="D269" s="15" t="s">
        <v>723</v>
      </c>
      <c r="E269" s="15" t="s">
        <v>730</v>
      </c>
      <c r="F269" s="15" t="s">
        <v>731</v>
      </c>
      <c r="G269" s="44" t="s">
        <v>73</v>
      </c>
      <c r="H269" s="45" t="s">
        <v>244</v>
      </c>
      <c r="I269" s="16">
        <v>1</v>
      </c>
      <c r="J269" s="16">
        <v>4500000</v>
      </c>
      <c r="K269" s="16">
        <f>I269*J269</f>
        <v>4500000</v>
      </c>
      <c r="L269" s="16"/>
      <c r="M269" s="16"/>
      <c r="N269" s="16"/>
      <c r="O269" s="44" t="s">
        <v>27</v>
      </c>
      <c r="P269" s="18"/>
      <c r="Q269" s="19"/>
    </row>
    <row r="270" spans="2:17" x14ac:dyDescent="0.2">
      <c r="K270" s="26">
        <f>SUM(K6:K269)</f>
        <v>4544691636.0274992</v>
      </c>
      <c r="Q270" s="2"/>
    </row>
    <row r="271" spans="2:17" x14ac:dyDescent="0.2">
      <c r="Q271" s="2"/>
    </row>
    <row r="272" spans="2:17" x14ac:dyDescent="0.2">
      <c r="B272" s="20"/>
      <c r="C272" s="37"/>
      <c r="D272" s="37"/>
      <c r="E272" s="37"/>
      <c r="F272" s="37"/>
      <c r="Q272" s="2"/>
    </row>
    <row r="273" spans="2:17" ht="12" customHeight="1" x14ac:dyDescent="0.2">
      <c r="C273" s="37"/>
      <c r="D273" s="38"/>
      <c r="E273" s="38"/>
      <c r="G273" s="39"/>
      <c r="I273" s="40"/>
      <c r="K273" s="36"/>
      <c r="Q273" s="2"/>
    </row>
    <row r="274" spans="2:17" x14ac:dyDescent="0.2">
      <c r="B274" s="20"/>
      <c r="C274" s="37"/>
      <c r="D274" s="38"/>
      <c r="E274" s="38"/>
      <c r="F274" s="38"/>
      <c r="I274" s="40"/>
      <c r="J274" s="2"/>
      <c r="K274" s="36"/>
      <c r="M274" s="19"/>
      <c r="O274" s="19"/>
      <c r="P274" s="36"/>
      <c r="Q274" s="2"/>
    </row>
    <row r="275" spans="2:17" x14ac:dyDescent="0.2">
      <c r="C275" s="37"/>
      <c r="D275" s="38"/>
      <c r="E275" s="38"/>
      <c r="F275" s="38"/>
      <c r="G275" s="38"/>
      <c r="I275" s="40"/>
      <c r="J275" s="2"/>
      <c r="K275" s="36"/>
      <c r="P275" s="36"/>
      <c r="Q275" s="2"/>
    </row>
    <row r="276" spans="2:17" hidden="1" x14ac:dyDescent="0.2">
      <c r="B276" s="7" t="s">
        <v>732</v>
      </c>
      <c r="J276" s="2"/>
      <c r="Q276" s="34"/>
    </row>
    <row r="277" spans="2:17" ht="11.25" hidden="1" customHeight="1" x14ac:dyDescent="0.2">
      <c r="B277" s="37"/>
      <c r="J277" s="2"/>
      <c r="Q277" s="34"/>
    </row>
    <row r="278" spans="2:17" hidden="1" x14ac:dyDescent="0.2">
      <c r="B278" s="54" t="s">
        <v>733</v>
      </c>
      <c r="C278" s="54"/>
      <c r="D278" s="8"/>
      <c r="E278" s="41" t="s">
        <v>734</v>
      </c>
      <c r="J278" s="2"/>
      <c r="Q278" s="34"/>
    </row>
    <row r="279" spans="2:17" ht="12" hidden="1" customHeight="1" x14ac:dyDescent="0.2">
      <c r="B279" s="37"/>
      <c r="D279" s="8"/>
      <c r="E279" s="41"/>
      <c r="J279" s="2"/>
      <c r="Q279" s="34"/>
    </row>
    <row r="280" spans="2:17" hidden="1" x14ac:dyDescent="0.2">
      <c r="B280" s="54" t="s">
        <v>735</v>
      </c>
      <c r="C280" s="54"/>
      <c r="D280" s="8"/>
      <c r="E280" s="41"/>
      <c r="J280" s="2"/>
      <c r="Q280" s="34"/>
    </row>
    <row r="281" spans="2:17" ht="13.5" hidden="1" customHeight="1" x14ac:dyDescent="0.2">
      <c r="B281" s="37"/>
      <c r="D281" s="8"/>
      <c r="E281" s="41"/>
      <c r="J281" s="2"/>
      <c r="Q281" s="34"/>
    </row>
    <row r="282" spans="2:17" hidden="1" x14ac:dyDescent="0.2">
      <c r="B282" s="54" t="s">
        <v>736</v>
      </c>
      <c r="C282" s="54"/>
      <c r="D282" s="8"/>
      <c r="E282" s="41" t="s">
        <v>737</v>
      </c>
      <c r="J282" s="2"/>
      <c r="Q282" s="34"/>
    </row>
    <row r="283" spans="2:17" ht="10.5" hidden="1" customHeight="1" x14ac:dyDescent="0.2">
      <c r="C283" s="8"/>
      <c r="D283" s="8"/>
      <c r="E283" s="42"/>
      <c r="J283" s="2"/>
      <c r="Q283" s="34"/>
    </row>
    <row r="284" spans="2:17" ht="20.25" hidden="1" customHeight="1" x14ac:dyDescent="0.2">
      <c r="B284" s="7" t="s">
        <v>738</v>
      </c>
      <c r="D284" s="8"/>
      <c r="E284" s="41" t="s">
        <v>739</v>
      </c>
      <c r="J284" s="2"/>
      <c r="Q284" s="34"/>
    </row>
    <row r="285" spans="2:17" ht="13.5" hidden="1" customHeight="1" x14ac:dyDescent="0.2">
      <c r="B285" s="7"/>
      <c r="D285" s="8"/>
      <c r="E285" s="41"/>
      <c r="J285" s="2"/>
      <c r="Q285" s="34"/>
    </row>
    <row r="286" spans="2:17" hidden="1" x14ac:dyDescent="0.2">
      <c r="B286" s="7" t="s">
        <v>740</v>
      </c>
      <c r="D286" s="8"/>
      <c r="E286" s="41" t="s">
        <v>741</v>
      </c>
      <c r="J286" s="2"/>
      <c r="Q286" s="34"/>
    </row>
    <row r="287" spans="2:17" ht="12.75" hidden="1" customHeight="1" x14ac:dyDescent="0.2">
      <c r="B287" s="7"/>
      <c r="D287" s="8"/>
      <c r="E287" s="41"/>
      <c r="J287" s="2"/>
      <c r="Q287" s="34"/>
    </row>
    <row r="288" spans="2:17" ht="19.5" hidden="1" customHeight="1" x14ac:dyDescent="0.2">
      <c r="B288" s="52" t="s">
        <v>742</v>
      </c>
      <c r="C288" s="52"/>
      <c r="D288" s="53"/>
      <c r="E288" s="41" t="s">
        <v>743</v>
      </c>
      <c r="J288" s="2"/>
      <c r="Q288" s="34"/>
    </row>
    <row r="289" spans="2:17" ht="11.25" hidden="1" customHeight="1" x14ac:dyDescent="0.2">
      <c r="B289" s="7"/>
      <c r="D289" s="8"/>
      <c r="E289" s="41"/>
      <c r="J289" s="2"/>
      <c r="Q289" s="34"/>
    </row>
    <row r="290" spans="2:17" hidden="1" x14ac:dyDescent="0.2">
      <c r="B290" s="7" t="s">
        <v>744</v>
      </c>
      <c r="D290" s="8"/>
      <c r="E290" s="41" t="s">
        <v>745</v>
      </c>
      <c r="J290" s="2"/>
      <c r="Q290" s="34"/>
    </row>
    <row r="291" spans="2:17" ht="13.5" hidden="1" customHeight="1" x14ac:dyDescent="0.2">
      <c r="B291" s="7"/>
      <c r="D291" s="8"/>
      <c r="E291" s="41"/>
      <c r="J291" s="2"/>
      <c r="Q291" s="34"/>
    </row>
    <row r="292" spans="2:17" hidden="1" x14ac:dyDescent="0.2">
      <c r="B292" s="7" t="s">
        <v>746</v>
      </c>
      <c r="D292" s="8"/>
      <c r="E292" s="41" t="s">
        <v>747</v>
      </c>
      <c r="J292" s="2"/>
      <c r="Q292" s="34"/>
    </row>
    <row r="293" spans="2:17" ht="13.5" hidden="1" customHeight="1" x14ac:dyDescent="0.2">
      <c r="B293" s="7"/>
      <c r="D293" s="8"/>
      <c r="E293" s="41"/>
      <c r="J293" s="2"/>
      <c r="Q293" s="34"/>
    </row>
    <row r="294" spans="2:17" hidden="1" x14ac:dyDescent="0.2">
      <c r="B294" s="7" t="s">
        <v>748</v>
      </c>
      <c r="D294" s="8"/>
      <c r="E294" s="41" t="s">
        <v>749</v>
      </c>
      <c r="J294" s="2"/>
      <c r="Q294" s="34"/>
    </row>
    <row r="295" spans="2:17" ht="12" hidden="1" customHeight="1" x14ac:dyDescent="0.2">
      <c r="B295" s="7"/>
      <c r="D295" s="8"/>
      <c r="E295" s="41"/>
      <c r="J295" s="2"/>
      <c r="Q295" s="34"/>
    </row>
    <row r="296" spans="2:17" hidden="1" x14ac:dyDescent="0.2">
      <c r="B296" s="7" t="s">
        <v>750</v>
      </c>
      <c r="D296" s="8"/>
      <c r="E296" s="41" t="s">
        <v>751</v>
      </c>
      <c r="J296" s="2"/>
      <c r="Q296" s="34"/>
    </row>
    <row r="297" spans="2:17" ht="13.5" hidden="1" customHeight="1" x14ac:dyDescent="0.2">
      <c r="B297" s="7"/>
      <c r="D297" s="8"/>
      <c r="E297" s="41"/>
      <c r="J297" s="2"/>
      <c r="Q297" s="34"/>
    </row>
    <row r="298" spans="2:17" hidden="1" x14ac:dyDescent="0.2">
      <c r="B298" s="7" t="s">
        <v>752</v>
      </c>
      <c r="D298" s="8"/>
      <c r="E298" s="41" t="s">
        <v>753</v>
      </c>
      <c r="J298" s="2"/>
      <c r="Q298" s="34"/>
    </row>
    <row r="299" spans="2:17" ht="14.25" hidden="1" customHeight="1" x14ac:dyDescent="0.2">
      <c r="B299" s="7"/>
      <c r="D299" s="8"/>
      <c r="E299" s="41"/>
      <c r="J299" s="2"/>
      <c r="Q299" s="34"/>
    </row>
    <row r="300" spans="2:17" hidden="1" x14ac:dyDescent="0.2">
      <c r="B300" s="52" t="s">
        <v>754</v>
      </c>
      <c r="C300" s="52"/>
      <c r="D300" s="53"/>
      <c r="E300" s="41" t="s">
        <v>755</v>
      </c>
      <c r="J300" s="2"/>
      <c r="Q300" s="34"/>
    </row>
    <row r="301" spans="2:17" ht="13.5" hidden="1" customHeight="1" x14ac:dyDescent="0.2">
      <c r="B301" s="7"/>
      <c r="D301" s="8"/>
      <c r="E301" s="41"/>
      <c r="J301" s="2"/>
      <c r="Q301" s="34"/>
    </row>
    <row r="302" spans="2:17" hidden="1" x14ac:dyDescent="0.2">
      <c r="B302" s="7" t="s">
        <v>756</v>
      </c>
      <c r="D302" s="8"/>
      <c r="E302" s="41" t="s">
        <v>757</v>
      </c>
      <c r="J302" s="2"/>
      <c r="Q302" s="34"/>
    </row>
    <row r="303" spans="2:17" ht="13.5" hidden="1" customHeight="1" x14ac:dyDescent="0.2">
      <c r="D303" s="8"/>
      <c r="E303" s="41"/>
      <c r="J303" s="2"/>
      <c r="Q303" s="34"/>
    </row>
    <row r="304" spans="2:17" hidden="1" x14ac:dyDescent="0.2">
      <c r="B304" s="7" t="s">
        <v>758</v>
      </c>
      <c r="D304" s="8"/>
      <c r="E304" s="41" t="s">
        <v>759</v>
      </c>
      <c r="J304" s="2"/>
      <c r="Q304" s="34"/>
    </row>
    <row r="305" spans="2:17" ht="11.25" hidden="1" customHeight="1" x14ac:dyDescent="0.2">
      <c r="D305" s="8"/>
      <c r="E305" s="41"/>
      <c r="J305" s="2"/>
      <c r="Q305" s="34"/>
    </row>
    <row r="306" spans="2:17" hidden="1" x14ac:dyDescent="0.2">
      <c r="B306" s="7" t="s">
        <v>760</v>
      </c>
      <c r="D306" s="8"/>
      <c r="E306" s="41" t="s">
        <v>761</v>
      </c>
      <c r="J306" s="2"/>
      <c r="Q306" s="34"/>
    </row>
    <row r="307" spans="2:17" ht="13.5" hidden="1" customHeight="1" x14ac:dyDescent="0.2">
      <c r="D307" s="8"/>
      <c r="E307" s="41"/>
      <c r="J307" s="2"/>
      <c r="Q307" s="34"/>
    </row>
    <row r="308" spans="2:17" hidden="1" x14ac:dyDescent="0.2">
      <c r="B308" s="7" t="s">
        <v>762</v>
      </c>
      <c r="D308" s="8"/>
      <c r="E308" s="41" t="s">
        <v>763</v>
      </c>
      <c r="J308" s="2"/>
      <c r="Q308" s="34"/>
    </row>
    <row r="309" spans="2:17" ht="11.25" hidden="1" customHeight="1" x14ac:dyDescent="0.2">
      <c r="D309" s="41"/>
      <c r="J309" s="2"/>
      <c r="Q309" s="34"/>
    </row>
    <row r="310" spans="2:17" hidden="1" x14ac:dyDescent="0.2">
      <c r="B310" s="52" t="s">
        <v>764</v>
      </c>
      <c r="C310" s="52"/>
      <c r="D310" s="53"/>
      <c r="E310" s="41"/>
      <c r="J310" s="2"/>
      <c r="Q310" s="34"/>
    </row>
    <row r="311" spans="2:17" ht="10.5" hidden="1" customHeight="1" x14ac:dyDescent="0.2">
      <c r="D311" s="8"/>
      <c r="E311" s="41"/>
      <c r="J311" s="2"/>
      <c r="Q311" s="34"/>
    </row>
    <row r="312" spans="2:17" hidden="1" x14ac:dyDescent="0.2">
      <c r="B312" s="7" t="s">
        <v>765</v>
      </c>
      <c r="D312" s="8"/>
      <c r="E312" s="41" t="s">
        <v>766</v>
      </c>
      <c r="J312" s="2"/>
      <c r="Q312" s="34"/>
    </row>
    <row r="313" spans="2:17" hidden="1" x14ac:dyDescent="0.2">
      <c r="J313" s="2"/>
      <c r="Q313" s="34"/>
    </row>
    <row r="314" spans="2:17" ht="15.75" x14ac:dyDescent="0.25">
      <c r="J314" s="2"/>
      <c r="Q314" s="43"/>
    </row>
    <row r="315" spans="2:17" ht="18.75" x14ac:dyDescent="0.3">
      <c r="K315" s="51"/>
    </row>
    <row r="316" spans="2:17" x14ac:dyDescent="0.2">
      <c r="E316" s="30"/>
      <c r="J316" s="2"/>
      <c r="O316" s="19"/>
      <c r="Q316" s="2"/>
    </row>
    <row r="317" spans="2:17" x14ac:dyDescent="0.2">
      <c r="Q317" s="2"/>
    </row>
    <row r="324" spans="7:14" x14ac:dyDescent="0.2">
      <c r="G324" s="7"/>
      <c r="I324" s="19"/>
      <c r="J324" s="19"/>
      <c r="L324" s="19"/>
      <c r="M324" s="19"/>
      <c r="N324" s="19"/>
    </row>
  </sheetData>
  <protectedRanges>
    <protectedRange sqref="F65 F72 F77 D82:D83 D65:D72 D74:D80" name="Диапазон3_4_1_1"/>
    <protectedRange sqref="E65 E72 E77 C82:C83 C65:C72 C74:C80" name="Диапазон3_4_1_2"/>
    <protectedRange sqref="F45 D45" name="Диапазон3_5_1"/>
    <protectedRange sqref="F60 F63" name="Диапазон3_4_1_1_1"/>
    <protectedRange sqref="E60 E63" name="Диапазон3_4_1_2_1"/>
    <protectedRange sqref="F66" name="Диапазон3_4_1_1_2"/>
    <protectedRange sqref="E66" name="Диапазон3_4_1_2_2"/>
    <protectedRange sqref="E67:F69" name="Диапазон3_4_1_1_3"/>
    <protectedRange sqref="F70:F71" name="Диапазон3_4_4_2"/>
    <protectedRange sqref="E70:E71" name="Диапазон3_4_4_1_1_1"/>
    <protectedRange sqref="F73 D73" name="Диапазон3_4_4_3"/>
    <protectedRange sqref="E73 C73" name="Диапазон3_4_4_1_2"/>
    <protectedRange sqref="F74" name="Диапазон3_4_4_4"/>
    <protectedRange sqref="E74" name="Диапазон3_4_4_1_3"/>
    <protectedRange sqref="F75" name="Диапазон3_4_4_5"/>
    <protectedRange sqref="E75" name="Диапазон3_4_4_1_4"/>
    <protectedRange sqref="F78" name="Диапазон3_4_4_10"/>
    <protectedRange sqref="E78" name="Диапазон3_4_4_1_4_1"/>
    <protectedRange sqref="F175" name="Диапазон4_11"/>
    <protectedRange sqref="F169" name="Диапазон4_11_4"/>
    <protectedRange sqref="F180:F181" name="Диапазон4_11_1"/>
    <protectedRange sqref="F250" name="Диапазон6_9_1_4"/>
    <protectedRange sqref="F251" name="Диапазон6_9_1_4_2"/>
    <protectedRange sqref="F258" name="Диапазон6_9_1_2"/>
    <protectedRange sqref="F266" name="Диапазон6_6_9"/>
    <protectedRange sqref="F267:F269" name="Диапазон6_6_9_1"/>
    <protectedRange sqref="E263:F264" name="Диапазон6_9_1_1_1_1"/>
    <protectedRange sqref="F260:F261" name="Диапазон6_6_9_1_1_1"/>
    <protectedRange sqref="F201" name="Диапазон4_11_4_1"/>
    <protectedRange sqref="E90:E91" name="Диапазон3_4_4_1_1_2"/>
  </protectedRanges>
  <autoFilter ref="B5:P274" xr:uid="{00000000-0001-0000-0800-000000000000}"/>
  <mergeCells count="22">
    <mergeCell ref="P3:P4"/>
    <mergeCell ref="N2:P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B310:D310"/>
    <mergeCell ref="B278:C278"/>
    <mergeCell ref="B280:C280"/>
    <mergeCell ref="B282:C282"/>
    <mergeCell ref="B288:D288"/>
    <mergeCell ref="B300:D300"/>
  </mergeCells>
  <dataValidations count="2">
    <dataValidation allowBlank="1" showInputMessage="1" showErrorMessage="1" prompt="Введите краткую хар-ку на рус.языке" sqref="F41 F76 F79 F80" xr:uid="{811C3488-C027-4F81-AB59-2B35B2E48671}"/>
    <dataValidation allowBlank="1" showInputMessage="1" showErrorMessage="1" prompt="Введите краткую хар-ку на гос.языке" sqref="E38 E45 C45 E76 E79 E80 E33:E35" xr:uid="{F95C9B5F-E48E-48DD-908E-615618334810}"/>
  </dataValidations>
  <printOptions horizontalCentered="1"/>
  <pageMargins left="0.19685039370078741" right="0" top="0.35433070866141736" bottom="0.35433070866141736" header="0.19685039370078741" footer="0.19685039370078741"/>
  <pageSetup paperSize="9" scale="3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Москаленко Елена Борисовна</cp:lastModifiedBy>
  <dcterms:created xsi:type="dcterms:W3CDTF">2025-09-15T07:29:23Z</dcterms:created>
  <dcterms:modified xsi:type="dcterms:W3CDTF">2025-09-15T09:22:13Z</dcterms:modified>
</cp:coreProperties>
</file>